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1_Descargas_Desktop\"/>
    </mc:Choice>
  </mc:AlternateContent>
  <bookViews>
    <workbookView xWindow="930" yWindow="0" windowWidth="19560" windowHeight="8235" tabRatio="808"/>
  </bookViews>
  <sheets>
    <sheet name="FORMATO &quot;B-C&quot; AFOCAT" sheetId="10" r:id="rId1"/>
    <sheet name="FORMATO &quot;A&quot; AFOCAT" sheetId="11" r:id="rId2"/>
    <sheet name="FORMATO &quot;B&quot; AFOCAT" sheetId="12" r:id="rId3"/>
    <sheet name="B.C- FONDO " sheetId="1" r:id="rId4"/>
    <sheet name="FORMATO &quot;A&quot;- FONDO 2" sheetId="2" r:id="rId5"/>
    <sheet name="FORMATO &quot;B&quot; - FONDO 2" sheetId="3" r:id="rId6"/>
    <sheet name="1004" sheetId="7" r:id="rId7"/>
    <sheet name="2601" sheetId="8" r:id="rId8"/>
    <sheet name="2701" sheetId="9" r:id="rId9"/>
  </sheets>
  <definedNames>
    <definedName name="_xlnm.Print_Area" localSheetId="3">'B.C- FONDO '!$A$1:$G$48</definedName>
    <definedName name="_xlnm.Print_Area" localSheetId="4">'FORMATO "A"- FONDO 2'!$A$1:$I$28</definedName>
    <definedName name="_xlnm.Print_Area" localSheetId="5">'FORMATO "B" - FONDO 2'!$A$1:$E$33</definedName>
    <definedName name="_xlnm.Print_Area" localSheetId="2">'FORMATO "B" AFOCAT'!$A$2:$E$26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2" l="1"/>
  <c r="D21" i="12" s="1"/>
  <c r="I34" i="11"/>
  <c r="E32" i="11"/>
  <c r="I30" i="11"/>
  <c r="H22" i="11"/>
  <c r="H21" i="11" s="1"/>
  <c r="I18" i="11"/>
  <c r="I32" i="11" s="1"/>
  <c r="D66" i="10"/>
  <c r="G63" i="10"/>
  <c r="G62" i="10" s="1"/>
  <c r="D34" i="11" s="1"/>
  <c r="H34" i="11" s="1"/>
  <c r="F63" i="10"/>
  <c r="E63" i="10"/>
  <c r="E62" i="10" s="1"/>
  <c r="F62" i="10"/>
  <c r="D62" i="10"/>
  <c r="G61" i="10"/>
  <c r="G60" i="10"/>
  <c r="F60" i="10"/>
  <c r="E60" i="10"/>
  <c r="D60" i="10"/>
  <c r="G59" i="10"/>
  <c r="G58" i="10" s="1"/>
  <c r="F59" i="10"/>
  <c r="F58" i="10"/>
  <c r="D58" i="10"/>
  <c r="F57" i="10"/>
  <c r="G57" i="10" s="1"/>
  <c r="C13" i="12" s="1"/>
  <c r="F56" i="10"/>
  <c r="E56" i="10"/>
  <c r="D56" i="10"/>
  <c r="G56" i="10" s="1"/>
  <c r="G54" i="10"/>
  <c r="G53" i="10"/>
  <c r="E52" i="10"/>
  <c r="G52" i="10" s="1"/>
  <c r="G51" i="10"/>
  <c r="G50" i="10"/>
  <c r="E50" i="10"/>
  <c r="E49" i="10"/>
  <c r="E48" i="10" s="1"/>
  <c r="D48" i="10"/>
  <c r="G46" i="10"/>
  <c r="G44" i="10" s="1"/>
  <c r="G45" i="10"/>
  <c r="H27" i="11" s="1"/>
  <c r="D44" i="10"/>
  <c r="G43" i="10"/>
  <c r="G42" i="10"/>
  <c r="D42" i="10"/>
  <c r="G40" i="10"/>
  <c r="F38" i="10"/>
  <c r="E38" i="10"/>
  <c r="D38" i="10"/>
  <c r="G38" i="10" s="1"/>
  <c r="H14" i="11" s="1"/>
  <c r="G37" i="10"/>
  <c r="G36" i="10"/>
  <c r="F35" i="10"/>
  <c r="E35" i="10"/>
  <c r="D35" i="10"/>
  <c r="G35" i="10" s="1"/>
  <c r="H13" i="11" s="1"/>
  <c r="G34" i="10"/>
  <c r="J33" i="10"/>
  <c r="G33" i="10"/>
  <c r="G32" i="10"/>
  <c r="E32" i="10"/>
  <c r="F31" i="10"/>
  <c r="E31" i="10"/>
  <c r="G31" i="10" s="1"/>
  <c r="H12" i="11" s="1"/>
  <c r="F30" i="10"/>
  <c r="G30" i="10" s="1"/>
  <c r="F29" i="10"/>
  <c r="G29" i="10" s="1"/>
  <c r="G28" i="10"/>
  <c r="G27" i="10"/>
  <c r="F26" i="10"/>
  <c r="E26" i="10"/>
  <c r="D26" i="10"/>
  <c r="G26" i="10" s="1"/>
  <c r="H11" i="11" s="1"/>
  <c r="G24" i="10"/>
  <c r="G23" i="10"/>
  <c r="D17" i="11" s="1"/>
  <c r="F23" i="10"/>
  <c r="E23" i="10"/>
  <c r="D23" i="10"/>
  <c r="G22" i="10"/>
  <c r="G21" i="10"/>
  <c r="G20" i="10"/>
  <c r="F19" i="10"/>
  <c r="E19" i="10"/>
  <c r="D19" i="10"/>
  <c r="G19" i="10" s="1"/>
  <c r="D16" i="11" s="1"/>
  <c r="G18" i="10"/>
  <c r="G17" i="10"/>
  <c r="F16" i="10"/>
  <c r="E16" i="10"/>
  <c r="D16" i="10"/>
  <c r="G16" i="10" s="1"/>
  <c r="D12" i="11" s="1"/>
  <c r="E14" i="10"/>
  <c r="G14" i="10" s="1"/>
  <c r="F13" i="10"/>
  <c r="F12" i="10"/>
  <c r="E12" i="10"/>
  <c r="G12" i="10" s="1"/>
  <c r="E11" i="10"/>
  <c r="G11" i="10" s="1"/>
  <c r="F10" i="10"/>
  <c r="F64" i="10" s="1"/>
  <c r="D10" i="10"/>
  <c r="H18" i="11" l="1"/>
  <c r="G49" i="10"/>
  <c r="G48" i="10" s="1"/>
  <c r="C15" i="12" s="1"/>
  <c r="C17" i="12" s="1"/>
  <c r="C21" i="12" s="1"/>
  <c r="H28" i="11" s="1"/>
  <c r="H25" i="11" s="1"/>
  <c r="H30" i="11" s="1"/>
  <c r="H26" i="11"/>
  <c r="E10" i="10"/>
  <c r="E13" i="10"/>
  <c r="G13" i="10" s="1"/>
  <c r="G10" i="10" l="1"/>
  <c r="D10" i="11" s="1"/>
  <c r="D32" i="11" s="1"/>
  <c r="E64" i="10"/>
  <c r="F65" i="10" s="1"/>
  <c r="H32" i="11"/>
  <c r="E24" i="8" l="1"/>
  <c r="E13" i="1" l="1"/>
  <c r="E34" i="1"/>
  <c r="E31" i="1" l="1"/>
  <c r="F40" i="1"/>
  <c r="E15" i="1"/>
  <c r="F13" i="1" l="1"/>
  <c r="E19" i="1" l="1"/>
  <c r="D10" i="1" l="1"/>
  <c r="F18" i="1" l="1"/>
  <c r="E17" i="1"/>
  <c r="D39" i="1" l="1"/>
  <c r="D36" i="1"/>
  <c r="D32" i="1"/>
  <c r="D30" i="1"/>
  <c r="D26" i="1"/>
  <c r="D22" i="1"/>
  <c r="D19" i="1"/>
  <c r="D17" i="1"/>
  <c r="D14" i="1"/>
  <c r="E47" i="8" l="1"/>
  <c r="F36" i="1" l="1"/>
  <c r="G36" i="1" s="1"/>
  <c r="E33" i="1"/>
  <c r="G18" i="1" l="1"/>
  <c r="F17" i="1" l="1"/>
  <c r="E10" i="1" l="1"/>
  <c r="G26" i="1" l="1"/>
  <c r="G35" i="1"/>
  <c r="G15" i="1"/>
  <c r="G16" i="1"/>
  <c r="G20" i="1"/>
  <c r="G21" i="1"/>
  <c r="G23" i="1"/>
  <c r="G24" i="1"/>
  <c r="G25" i="1"/>
  <c r="G27" i="1"/>
  <c r="G28" i="1"/>
  <c r="G29" i="1"/>
  <c r="G31" i="1"/>
  <c r="G33" i="1"/>
  <c r="G34" i="1"/>
  <c r="G37" i="1"/>
  <c r="C9" i="3" s="1"/>
  <c r="G38" i="1"/>
  <c r="C10" i="3" s="1"/>
  <c r="G40" i="1"/>
  <c r="G42" i="1"/>
  <c r="G43" i="1"/>
  <c r="D52" i="8"/>
  <c r="D51" i="8"/>
  <c r="D53" i="8" l="1"/>
  <c r="G13" i="1" l="1"/>
  <c r="E32" i="1" l="1"/>
  <c r="E14" i="1" l="1"/>
  <c r="D11" i="3"/>
  <c r="D14" i="3" s="1"/>
  <c r="D16" i="3" s="1"/>
  <c r="D18" i="3" s="1"/>
  <c r="E22" i="2"/>
  <c r="I18" i="2"/>
  <c r="I14" i="2"/>
  <c r="I11" i="2"/>
  <c r="F39" i="1"/>
  <c r="G39" i="1" s="1"/>
  <c r="C13" i="3"/>
  <c r="F32" i="1"/>
  <c r="G32" i="1" s="1"/>
  <c r="F30" i="1"/>
  <c r="E30" i="1"/>
  <c r="H19" i="2"/>
  <c r="F22" i="1"/>
  <c r="G22" i="1" s="1"/>
  <c r="H16" i="2" s="1"/>
  <c r="H14" i="2" s="1"/>
  <c r="F19" i="1"/>
  <c r="F14" i="1"/>
  <c r="G12" i="1"/>
  <c r="G11" i="1"/>
  <c r="F10" i="1"/>
  <c r="G19" i="1" l="1"/>
  <c r="H10" i="2" s="1"/>
  <c r="C4" i="9"/>
  <c r="C7" i="9" s="1"/>
  <c r="G14" i="1"/>
  <c r="D10" i="2" s="1"/>
  <c r="G30" i="1"/>
  <c r="C12" i="3" s="1"/>
  <c r="G17" i="1"/>
  <c r="H9" i="2" s="1"/>
  <c r="F46" i="1"/>
  <c r="E46" i="1"/>
  <c r="C11" i="3"/>
  <c r="C14" i="3" s="1"/>
  <c r="C15" i="3"/>
  <c r="I21" i="2"/>
  <c r="I22" i="2" s="1"/>
  <c r="G10" i="1"/>
  <c r="F47" i="1" l="1"/>
  <c r="D9" i="2"/>
  <c r="B4" i="7"/>
  <c r="C3" i="7" s="1"/>
  <c r="C8" i="7" s="1"/>
  <c r="C16" i="3"/>
  <c r="C18" i="3" s="1"/>
  <c r="H20" i="2" s="1"/>
  <c r="H18" i="2" s="1"/>
  <c r="H21" i="2" s="1"/>
  <c r="H11" i="2"/>
  <c r="D22" i="2"/>
  <c r="H22" i="2" l="1"/>
</calcChain>
</file>

<file path=xl/sharedStrings.xml><?xml version="1.0" encoding="utf-8"?>
<sst xmlns="http://schemas.openxmlformats.org/spreadsheetml/2006/main" count="327" uniqueCount="208">
  <si>
    <t>B/C - FONDO</t>
  </si>
  <si>
    <t>ASOCIACION DE USUARIOS DEL FONDO REGIONAL CONTRA ACCIDENTES DE TRANSITO-FORCAT</t>
  </si>
  <si>
    <t xml:space="preserve">BALANCE DE COMPROBACIÓN DE SALDOS </t>
  </si>
  <si>
    <t>CONCEPTO</t>
  </si>
  <si>
    <t>SALDO ANTERIOR</t>
  </si>
  <si>
    <t>MOVIMIENTO</t>
  </si>
  <si>
    <t>SALDO FINAL</t>
  </si>
  <si>
    <t>S/.</t>
  </si>
  <si>
    <t>DEBE</t>
  </si>
  <si>
    <t>HABER</t>
  </si>
  <si>
    <t>ACTIVO</t>
  </si>
  <si>
    <t>CAJA Y BANCOS</t>
  </si>
  <si>
    <t>CAJA</t>
  </si>
  <si>
    <t>BANCOS LOCALES</t>
  </si>
  <si>
    <t xml:space="preserve">OTRAS INSTITUCIONES FINANCIERAS </t>
  </si>
  <si>
    <t xml:space="preserve">FIDEICOMISO </t>
  </si>
  <si>
    <t>FIDEICOMISO</t>
  </si>
  <si>
    <t>PASIVO</t>
  </si>
  <si>
    <t>SINIESTROS POR PAGAR</t>
  </si>
  <si>
    <t xml:space="preserve">SINIESTROS POR PAGAR </t>
  </si>
  <si>
    <t>APORTES POR PAGAR</t>
  </si>
  <si>
    <t>Aportes por pagar al Fondo de Compensacion</t>
  </si>
  <si>
    <t>PATRIMONIO</t>
  </si>
  <si>
    <t xml:space="preserve"> </t>
  </si>
  <si>
    <t>FONDO SOCIAL</t>
  </si>
  <si>
    <t xml:space="preserve">APORTACIONES PARA EL FONDO MINIMO </t>
  </si>
  <si>
    <t>APORTES EXTRAORDINARIOS</t>
  </si>
  <si>
    <t>ADMINISTRACIÓN DE EXCEDENTES</t>
  </si>
  <si>
    <t>RESULTADOS ACUMULADOS</t>
  </si>
  <si>
    <t>UTILIDADES OBTENIDAS</t>
  </si>
  <si>
    <t>RESULTADO DEL EJERCICIO</t>
  </si>
  <si>
    <t>EGRESOS</t>
  </si>
  <si>
    <t xml:space="preserve">SINIESTROS </t>
  </si>
  <si>
    <t>SINIESTROS CAT</t>
  </si>
  <si>
    <t>GASTOS DE ADMINISTRACION</t>
  </si>
  <si>
    <t>APORTES AL FONDO DE COMPENSACION DEL SOAT Y CAT</t>
  </si>
  <si>
    <t>CARGAS DIVERSAS DE GESTION</t>
  </si>
  <si>
    <t>INGRESOS</t>
  </si>
  <si>
    <t>INGRESOS POR CAT EMITIDOS</t>
  </si>
  <si>
    <t>APORTES DE RIESGO</t>
  </si>
  <si>
    <t>RECUPERO DE SINIESTROS</t>
  </si>
  <si>
    <t>INGRESOS DIVERSOS</t>
  </si>
  <si>
    <t>RENDIMIENTO DEL FONDO</t>
  </si>
  <si>
    <t>GANANCIAS Y PERDIDAS</t>
  </si>
  <si>
    <t>RESULTADO DE OPERACIÓN</t>
  </si>
  <si>
    <t>RESULTADO DE OPERACION</t>
  </si>
  <si>
    <t xml:space="preserve">UTILIDAD (PERDIDA) </t>
  </si>
  <si>
    <t xml:space="preserve">    FORMA  A :FONDO</t>
  </si>
  <si>
    <t>Periodo actual</t>
  </si>
  <si>
    <t>Periodo anterior</t>
  </si>
  <si>
    <t>PASIVO Y PATRIMONIO</t>
  </si>
  <si>
    <t>10  Caja y Bancos</t>
  </si>
  <si>
    <t>26  Siniestros por pagar</t>
  </si>
  <si>
    <t>15  Fideicomiso</t>
  </si>
  <si>
    <t>27 Aportes Por Pagar</t>
  </si>
  <si>
    <t>Total del Pasivo</t>
  </si>
  <si>
    <t>37  Fondo Social</t>
  </si>
  <si>
    <t>- 3701  Aportaciones para el Fondo Mínimo</t>
  </si>
  <si>
    <t>- 3702  Aportes extraordinarios</t>
  </si>
  <si>
    <t>- 3703  (Administración de excedentes)</t>
  </si>
  <si>
    <t>38 Resultados Acumulados</t>
  </si>
  <si>
    <t>3801  Resultados acumulados</t>
  </si>
  <si>
    <t>3803  Resultado del Ejercicio</t>
  </si>
  <si>
    <t>Total Patrimonio</t>
  </si>
  <si>
    <t>Total del Activo</t>
  </si>
  <si>
    <t>Total Pasivo y Patrimonio</t>
  </si>
  <si>
    <t>FORMATO "B" FONDO</t>
  </si>
  <si>
    <t>Período anterior</t>
  </si>
  <si>
    <t>5005  Aportes de riesgo</t>
  </si>
  <si>
    <t>5006  Recupero de siniestros</t>
  </si>
  <si>
    <t>Total ingresos por CAT</t>
  </si>
  <si>
    <t>4201  Siniestros por CAT</t>
  </si>
  <si>
    <t xml:space="preserve">4701  Contribucion Al Fondo de Compensacion </t>
  </si>
  <si>
    <t>Resultado de operaciones por CAT emitidos</t>
  </si>
  <si>
    <t>5705 – 4704  Otros Ingresos y egresos (neto)</t>
  </si>
  <si>
    <t>60  Resultado de operación</t>
  </si>
  <si>
    <t>6801 Utilidad (Pérdida) neta</t>
  </si>
  <si>
    <t>Anexo del rubro 10. Caja y Bancos</t>
  </si>
  <si>
    <t>1001. Caja</t>
  </si>
  <si>
    <t xml:space="preserve">1004 OTRAS INSTITUCIONES FINANCIERAS </t>
  </si>
  <si>
    <t>100401 Caja Sullana cta N° 108-106-1001645</t>
  </si>
  <si>
    <t>Documento pendiente de pago</t>
  </si>
  <si>
    <t>Nombre de la Entidad o Médico</t>
  </si>
  <si>
    <t>Tipo</t>
  </si>
  <si>
    <t>Número</t>
  </si>
  <si>
    <t>Fecha</t>
  </si>
  <si>
    <t>Importe</t>
  </si>
  <si>
    <t>Sub Total</t>
  </si>
  <si>
    <t>Nombres y Apellidos Beneficiario</t>
  </si>
  <si>
    <t>Datos de la Solicitud</t>
  </si>
  <si>
    <t>Cobertura</t>
  </si>
  <si>
    <t>INCAPACIDAD TEMPORAL</t>
  </si>
  <si>
    <t xml:space="preserve">Hospitales, Centros de Salud Públicos y/o Privados; y médicos </t>
  </si>
  <si>
    <t>Personas naturales</t>
  </si>
  <si>
    <t>TOTAL</t>
  </si>
  <si>
    <t>Mes</t>
  </si>
  <si>
    <t>Año</t>
  </si>
  <si>
    <t>GASTOS MEDICOS</t>
  </si>
  <si>
    <t>INDEMNIZACIÓN POR MUERTE</t>
  </si>
  <si>
    <t>OCTUBRE</t>
  </si>
  <si>
    <t>ROMALDA HUAMAN HUAMAN</t>
  </si>
  <si>
    <t>LUZ BRENILDA DELGADO MONTERO</t>
  </si>
  <si>
    <t>BENERANDA CORDOVA RAMOS</t>
  </si>
  <si>
    <t>GISSELA BEATRIZ LOPEZ PALACIOS</t>
  </si>
  <si>
    <t>ELILU PINCHE SAMAME</t>
  </si>
  <si>
    <t>LIZBETH DEL ROCIO SAMAME PURIZACA</t>
  </si>
  <si>
    <t>CECILIA PURIZACA MORALES</t>
  </si>
  <si>
    <t>Al 31 de Diciembre del 2019.</t>
  </si>
  <si>
    <t>BALANCE GENERAL AL : 31 de Diciembre del   2019</t>
  </si>
  <si>
    <t>ESTADO DE GANANCIAS Y PERDIDAS AL 31 DE Diciembre DEL 2019</t>
  </si>
  <si>
    <t>Saldo al 31/12/2019</t>
  </si>
  <si>
    <t>Anexo del rubro 26. Siniestros por pagar al 31/12/2019</t>
  </si>
  <si>
    <t>HOSP. CLINICAS</t>
  </si>
  <si>
    <t>002-002711</t>
  </si>
  <si>
    <t>002-002712</t>
  </si>
  <si>
    <t>002-002713</t>
  </si>
  <si>
    <t>002-002714</t>
  </si>
  <si>
    <t>002-002715</t>
  </si>
  <si>
    <t>002-002719</t>
  </si>
  <si>
    <t>002-002716</t>
  </si>
  <si>
    <t>002-002717</t>
  </si>
  <si>
    <t>002-002718</t>
  </si>
  <si>
    <t>002-002720</t>
  </si>
  <si>
    <t>002-002722</t>
  </si>
  <si>
    <t>002-002723</t>
  </si>
  <si>
    <t>002-002724</t>
  </si>
  <si>
    <t>002-002725</t>
  </si>
  <si>
    <t>002-002726</t>
  </si>
  <si>
    <t>002-002727</t>
  </si>
  <si>
    <t>002-002728</t>
  </si>
  <si>
    <t>002-002729</t>
  </si>
  <si>
    <t>ROSINA VIELCA TORRES SANTIAGO</t>
  </si>
  <si>
    <t>PATRICIA MEDALITH CABREJOS TABOADA</t>
  </si>
  <si>
    <t>MIRIAN HUGUETTE DIAZ VARGAS</t>
  </si>
  <si>
    <t>NANCY ESTRELLA CARRION SANCHEZ</t>
  </si>
  <si>
    <t>CHARLY FERNANDO RAMOS ALVARADO</t>
  </si>
  <si>
    <t>JORGE MILTON OYOLA VALVERDE</t>
  </si>
  <si>
    <t>PEDRO PATAZCA CORONADO</t>
  </si>
  <si>
    <t>MELISSA DELIA MEDINA ZAPATA</t>
  </si>
  <si>
    <t>FRANCISCO FELIPE CAPUÑAY TULLUME</t>
  </si>
  <si>
    <t>002-002721</t>
  </si>
  <si>
    <t>Factura</t>
  </si>
  <si>
    <t>RESUMEN Anexo del rubro 26. Siniestros por pagar al 31/12/2019</t>
  </si>
  <si>
    <t>Anexo del rubro 27. Aportes por pagar   (Fondo de Compensación del SOAT y del CAT)   al 31/12/2019</t>
  </si>
  <si>
    <t>B/C -AFOCAT</t>
  </si>
  <si>
    <t xml:space="preserve">                     ASOCIACIÓN DE USUARIOS DEL FONDO REGIONAL CONTRA ACCIDENTES DE TRÁNSITO-FORCAT</t>
  </si>
  <si>
    <t xml:space="preserve">                                     BALANCE DE COMPROBACIÓN DE SALDOS </t>
  </si>
  <si>
    <t xml:space="preserve">                    Al 31 de Diciembre del 2019</t>
  </si>
  <si>
    <t>CUENTAS POR COBRAR POR EMISIÓN DE  CAT</t>
  </si>
  <si>
    <t>APORTACIONES POR COBRAR POR EMISIÓN DE CAT</t>
  </si>
  <si>
    <t>CUENTAS POR COBRAR RECUPERO DE SINIESTROS</t>
  </si>
  <si>
    <t>CUENTAS POR COBRAR DIVERSAS</t>
  </si>
  <si>
    <t>CUENTAS POR COBRAR A ASOCIADOS Y PERSONAL</t>
  </si>
  <si>
    <t>OTRAS CUENTAS POR COBRAR</t>
  </si>
  <si>
    <t>INMUEBLES, MUEBLES Y EQUIPOS</t>
  </si>
  <si>
    <t>INMUEBLES</t>
  </si>
  <si>
    <t>MUEBLES Y EQUIPOS</t>
  </si>
  <si>
    <t>DEPRECIACIÓN ACUMULADA</t>
  </si>
  <si>
    <t>OTROS ACTIVOS</t>
  </si>
  <si>
    <t>CARGAS DIFERIDAS</t>
  </si>
  <si>
    <t>TRIBUTOS, PARTICIPACIONES Y CUENTAS POR PAGAR DIVERSAS</t>
  </si>
  <si>
    <t>TRIBUTOS Y CONTRIBUCIONES POR CUENTA PROPIA</t>
  </si>
  <si>
    <t>TRIBUTOS Y CONTRIBUCIONES POR CUENTA DE TERCEROS</t>
  </si>
  <si>
    <t>GASTOS Y PARTICIPACIONES DEL PERSONAL POR PAGAR</t>
  </si>
  <si>
    <t xml:space="preserve">CUENTAS POR PAGAR DIVERSAS   </t>
  </si>
  <si>
    <t>CUENTAS POR TRANSFERIR AL FONDO</t>
  </si>
  <si>
    <t>APORTACIONES DE RIESGO</t>
  </si>
  <si>
    <t>APORTACIONES DIVERSAS</t>
  </si>
  <si>
    <t>OTRAS PROVISIONES</t>
  </si>
  <si>
    <t>BENEFICIOS SOCIALES</t>
  </si>
  <si>
    <t>PROVISIONES DIVERSAS</t>
  </si>
  <si>
    <t>GANANCIAS DIFERIDAS</t>
  </si>
  <si>
    <t>IMPUESTO A LA RENTA Y PARTICIPACIONES DIFERIDOS</t>
  </si>
  <si>
    <t>OTRAS GANANCIAS DIFERIDAS</t>
  </si>
  <si>
    <t>BENEFICIOS ACUMULADOS</t>
  </si>
  <si>
    <t>PERDIDAS ACUMULADAS</t>
  </si>
  <si>
    <t>PERSONAL</t>
  </si>
  <si>
    <t>SERVICIOS RECIBIDOS DE TERCEROS</t>
  </si>
  <si>
    <t>TRIBUTOS</t>
  </si>
  <si>
    <t>PROVISIONES, DEPRECIACIONES, AMORTIZACIONES Y DETERIOROS</t>
  </si>
  <si>
    <t>GASTOS DE INVERSIONES</t>
  </si>
  <si>
    <t>APORTACIONES DE CAT PARA GASTOS DE ADMINISTRACIÓN</t>
  </si>
  <si>
    <t xml:space="preserve">INGRESOS POR INVERSIONES </t>
  </si>
  <si>
    <t>CUENTAS DE ORDEN ACREEDORAS</t>
  </si>
  <si>
    <t>SINIESTROS AVISADOS</t>
  </si>
  <si>
    <t>CUENTAS DE ORDEN ACREEDORAS POR CONTRA</t>
  </si>
  <si>
    <t>FORMA “A” - AFOCAT</t>
  </si>
  <si>
    <t>ASOCIACIÓN DE USUARIOS DEL FONDO REGIONAL CONTRA ACCIDENTES DE TRÁNSITO-FORCAT</t>
  </si>
  <si>
    <t>BALANCE GENERAL AL : 31 de Diciembre  del 2019</t>
  </si>
  <si>
    <t>20  Tributos por pagar, participaciones y Cuentas por pagar</t>
  </si>
  <si>
    <t>16  Cuentas por Cobrar diversas (neto)</t>
  </si>
  <si>
    <t>22  Cuentas Por Transferir al Fondo</t>
  </si>
  <si>
    <t>28  Otras provisiones</t>
  </si>
  <si>
    <t>29  Ganancias Diferidas</t>
  </si>
  <si>
    <t>18  Inmuebles, maquinaria y equipo (neto)</t>
  </si>
  <si>
    <t>19  Otros activos</t>
  </si>
  <si>
    <t>3702  Aportes extraordinarios</t>
  </si>
  <si>
    <t>38   Resultados Acumulados</t>
  </si>
  <si>
    <t>3801 Beneficios acumulados</t>
  </si>
  <si>
    <t>3802  Pérdidas acumuladas</t>
  </si>
  <si>
    <t>83  Cuentas de Orden acreedoras por contra</t>
  </si>
  <si>
    <t>82  Cuentas de Orden Acreedoras</t>
  </si>
  <si>
    <t>FORMATO "B" AFOCAT</t>
  </si>
  <si>
    <t>ESTADO DE GANANCIAS Y PÉRDIDAS AL 31 DE DICIEMBRE  DEL 2019</t>
  </si>
  <si>
    <t>5002  Aportaciones CAT para gastos de administración</t>
  </si>
  <si>
    <t>57 – 47  Ingresos diversos – gastos de administración</t>
  </si>
  <si>
    <t>60  Resultado de Operación</t>
  </si>
  <si>
    <t>6801  Superávit (Déficit)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</si>
</sst>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S/&quot;* #,##0.00_-;\-&quot;S/&quot;* #,##0.00_-;_-&quot;S/&quot;* &quot;-&quot;??_-;_-@_-"/>
    <numFmt numFmtId="164" formatCode="_ &quot;S/.&quot;\ * #,##0.00_ ;_ &quot;S/.&quot;\ * \-#,##0.00_ ;_ &quot;S/.&quot;\ * &quot;-&quot;??_ ;_ @_ "/>
    <numFmt numFmtId="165" formatCode="_ &quot;S/&quot;* #,##0.00_ ;_ &quot;S/&quot;* \-#,##0.00_ ;_ &quot;S/&quot;* &quot;-&quot;??_ ;_ @_ "/>
    <numFmt numFmtId="166" formatCode="_-[$S/.-280A]\ * #,##0.00_ ;_-[$S/.-280A]\ * \-#,##0.00\ ;_-[$S/.-280A]\ * &quot;-&quot;??_ ;_-@_ "/>
    <numFmt numFmtId="167" formatCode="_ [$S/.-280A]\ * #,##0.00_ ;_ [$S/.-280A]\ * \-#,##0.00_ ;_ [$S/.-280A]\ * &quot;-&quot;??_ ;_ @_ "/>
  </numFmts>
  <fonts count="20">
    <font>
      <sz val="10"/>
      <name val="Arial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sz val="8"/>
      <name val="Arial Narrow"/>
      <family val="2"/>
    </font>
    <font>
      <sz val="9"/>
      <name val="Antique Olive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8"/>
      <color indexed="8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2" borderId="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166" fontId="6" fillId="2" borderId="1" xfId="0" applyNumberFormat="1" applyFont="1" applyFill="1" applyBorder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vertical="top"/>
    </xf>
    <xf numFmtId="166" fontId="6" fillId="2" borderId="9" xfId="0" applyNumberFormat="1" applyFont="1" applyFill="1" applyBorder="1" applyAlignment="1">
      <alignment horizontal="center" vertical="center" wrapText="1"/>
    </xf>
    <xf numFmtId="166" fontId="6" fillId="2" borderId="10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vertical="top"/>
    </xf>
    <xf numFmtId="166" fontId="8" fillId="2" borderId="9" xfId="0" applyNumberFormat="1" applyFont="1" applyFill="1" applyBorder="1" applyAlignment="1">
      <alignment horizontal="center" vertical="center" wrapText="1"/>
    </xf>
    <xf numFmtId="166" fontId="8" fillId="2" borderId="1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vertical="center"/>
    </xf>
    <xf numFmtId="167" fontId="0" fillId="0" borderId="0" xfId="0" applyNumberFormat="1"/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166" fontId="0" fillId="0" borderId="0" xfId="0" applyNumberFormat="1"/>
    <xf numFmtId="0" fontId="9" fillId="0" borderId="0" xfId="0" applyFont="1"/>
    <xf numFmtId="0" fontId="4" fillId="2" borderId="9" xfId="0" applyFont="1" applyFill="1" applyBorder="1" applyAlignment="1"/>
    <xf numFmtId="0" fontId="4" fillId="2" borderId="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/>
    </xf>
    <xf numFmtId="0" fontId="4" fillId="2" borderId="5" xfId="0" applyFont="1" applyFill="1" applyBorder="1" applyAlignment="1"/>
    <xf numFmtId="0" fontId="5" fillId="2" borderId="1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166" fontId="0" fillId="2" borderId="13" xfId="0" applyNumberFormat="1" applyFill="1" applyBorder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/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1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66" fontId="8" fillId="0" borderId="19" xfId="0" applyNumberFormat="1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6" fontId="8" fillId="0" borderId="18" xfId="0" applyNumberFormat="1" applyFont="1" applyBorder="1" applyAlignment="1">
      <alignment vertical="center" wrapText="1"/>
    </xf>
    <xf numFmtId="166" fontId="8" fillId="0" borderId="17" xfId="0" applyNumberFormat="1" applyFont="1" applyBorder="1" applyAlignment="1">
      <alignment horizontal="center" vertical="center" wrapText="1"/>
    </xf>
    <xf numFmtId="166" fontId="8" fillId="0" borderId="18" xfId="0" applyNumberFormat="1" applyFont="1" applyBorder="1" applyAlignment="1">
      <alignment horizontal="center" vertical="center" wrapText="1"/>
    </xf>
    <xf numFmtId="166" fontId="6" fillId="0" borderId="18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166" fontId="6" fillId="0" borderId="0" xfId="0" applyNumberFormat="1" applyFont="1" applyAlignment="1">
      <alignment horizontal="center" vertical="center" wrapText="1"/>
    </xf>
    <xf numFmtId="166" fontId="8" fillId="0" borderId="21" xfId="0" applyNumberFormat="1" applyFont="1" applyBorder="1" applyAlignment="1">
      <alignment horizontal="center" vertical="center" wrapText="1"/>
    </xf>
    <xf numFmtId="166" fontId="8" fillId="0" borderId="6" xfId="0" applyNumberFormat="1" applyFont="1" applyBorder="1" applyAlignment="1">
      <alignment horizontal="center" vertical="center" wrapText="1"/>
    </xf>
    <xf numFmtId="166" fontId="6" fillId="0" borderId="6" xfId="0" applyNumberFormat="1" applyFont="1" applyBorder="1" applyAlignment="1">
      <alignment horizontal="center" vertical="center" wrapText="1"/>
    </xf>
    <xf numFmtId="166" fontId="6" fillId="0" borderId="11" xfId="0" applyNumberFormat="1" applyFont="1" applyBorder="1" applyAlignment="1">
      <alignment horizontal="center" vertical="center" wrapText="1"/>
    </xf>
    <xf numFmtId="166" fontId="6" fillId="0" borderId="22" xfId="0" applyNumberFormat="1" applyFont="1" applyBorder="1" applyAlignment="1">
      <alignment horizontal="center" vertical="center" wrapText="1"/>
    </xf>
    <xf numFmtId="166" fontId="6" fillId="0" borderId="23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3" fillId="0" borderId="19" xfId="0" applyFont="1" applyBorder="1" applyAlignment="1">
      <alignment wrapText="1"/>
    </xf>
    <xf numFmtId="0" fontId="10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166" fontId="8" fillId="0" borderId="15" xfId="0" applyNumberFormat="1" applyFont="1" applyBorder="1" applyAlignment="1">
      <alignment horizontal="center" vertical="top" wrapText="1"/>
    </xf>
    <xf numFmtId="166" fontId="8" fillId="0" borderId="2" xfId="0" applyNumberFormat="1" applyFont="1" applyBorder="1" applyAlignment="1">
      <alignment horizontal="center" vertical="top" wrapText="1"/>
    </xf>
    <xf numFmtId="0" fontId="4" fillId="0" borderId="18" xfId="0" applyFont="1" applyBorder="1" applyAlignment="1">
      <alignment horizontal="justify" vertical="center" wrapText="1"/>
    </xf>
    <xf numFmtId="166" fontId="8" fillId="0" borderId="20" xfId="0" applyNumberFormat="1" applyFont="1" applyBorder="1" applyAlignment="1">
      <alignment horizontal="center" vertical="center" wrapText="1"/>
    </xf>
    <xf numFmtId="166" fontId="8" fillId="0" borderId="13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center" wrapText="1"/>
    </xf>
    <xf numFmtId="166" fontId="6" fillId="0" borderId="20" xfId="0" applyNumberFormat="1" applyFont="1" applyBorder="1" applyAlignment="1">
      <alignment horizontal="center" vertical="center" wrapText="1"/>
    </xf>
    <xf numFmtId="166" fontId="6" fillId="0" borderId="25" xfId="0" applyNumberFormat="1" applyFont="1" applyBorder="1" applyAlignment="1">
      <alignment horizontal="center" vertical="center" wrapText="1"/>
    </xf>
    <xf numFmtId="0" fontId="0" fillId="0" borderId="0" xfId="0" applyBorder="1"/>
    <xf numFmtId="166" fontId="6" fillId="0" borderId="7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166" fontId="4" fillId="0" borderId="0" xfId="0" applyNumberFormat="1" applyFont="1" applyBorder="1"/>
    <xf numFmtId="0" fontId="0" fillId="0" borderId="26" xfId="0" applyBorder="1"/>
    <xf numFmtId="4" fontId="0" fillId="0" borderId="26" xfId="0" applyNumberFormat="1" applyBorder="1"/>
    <xf numFmtId="4" fontId="1" fillId="0" borderId="26" xfId="0" applyNumberFormat="1" applyFont="1" applyBorder="1"/>
    <xf numFmtId="4" fontId="0" fillId="0" borderId="0" xfId="0" applyNumberFormat="1"/>
    <xf numFmtId="0" fontId="0" fillId="0" borderId="0" xfId="0" applyFont="1"/>
    <xf numFmtId="0" fontId="0" fillId="0" borderId="26" xfId="0" applyFont="1" applyBorder="1"/>
    <xf numFmtId="0" fontId="14" fillId="0" borderId="26" xfId="0" applyFont="1" applyFill="1" applyBorder="1" applyAlignment="1">
      <alignment horizontal="center"/>
    </xf>
    <xf numFmtId="4" fontId="0" fillId="0" borderId="26" xfId="0" applyNumberFormat="1" applyFont="1" applyBorder="1" applyAlignment="1">
      <alignment horizontal="right"/>
    </xf>
    <xf numFmtId="0" fontId="14" fillId="0" borderId="0" xfId="0" applyFont="1" applyFill="1"/>
    <xf numFmtId="4" fontId="0" fillId="0" borderId="0" xfId="0" applyNumberFormat="1" applyFont="1" applyAlignment="1">
      <alignment horizontal="right"/>
    </xf>
    <xf numFmtId="0" fontId="0" fillId="0" borderId="26" xfId="0" applyBorder="1" applyAlignment="1">
      <alignment horizontal="center"/>
    </xf>
    <xf numFmtId="14" fontId="0" fillId="0" borderId="26" xfId="0" applyNumberFormat="1" applyBorder="1"/>
    <xf numFmtId="0" fontId="15" fillId="0" borderId="26" xfId="0" applyFont="1" applyBorder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165" fontId="0" fillId="0" borderId="0" xfId="0" applyNumberFormat="1"/>
    <xf numFmtId="0" fontId="16" fillId="3" borderId="26" xfId="0" applyFont="1" applyFill="1" applyBorder="1" applyAlignment="1">
      <alignment horizontal="center" vertical="center"/>
    </xf>
    <xf numFmtId="44" fontId="15" fillId="0" borderId="26" xfId="0" applyNumberFormat="1" applyFont="1" applyBorder="1"/>
    <xf numFmtId="0" fontId="10" fillId="0" borderId="26" xfId="0" applyFont="1" applyBorder="1" applyAlignment="1">
      <alignment horizontal="center"/>
    </xf>
    <xf numFmtId="0" fontId="10" fillId="0" borderId="26" xfId="0" applyFont="1" applyBorder="1"/>
    <xf numFmtId="165" fontId="4" fillId="0" borderId="0" xfId="0" applyNumberFormat="1" applyFont="1" applyBorder="1"/>
    <xf numFmtId="14" fontId="10" fillId="0" borderId="26" xfId="0" applyNumberFormat="1" applyFont="1" applyBorder="1" applyAlignment="1">
      <alignment horizontal="center"/>
    </xf>
    <xf numFmtId="165" fontId="10" fillId="0" borderId="26" xfId="0" applyNumberFormat="1" applyFont="1" applyBorder="1"/>
    <xf numFmtId="165" fontId="10" fillId="0" borderId="26" xfId="0" applyNumberFormat="1" applyFont="1" applyBorder="1" applyAlignment="1">
      <alignment horizontal="right"/>
    </xf>
    <xf numFmtId="165" fontId="17" fillId="0" borderId="26" xfId="0" applyNumberFormat="1" applyFont="1" applyBorder="1" applyAlignment="1">
      <alignment horizontal="right"/>
    </xf>
    <xf numFmtId="165" fontId="15" fillId="0" borderId="26" xfId="0" applyNumberFormat="1" applyFont="1" applyBorder="1"/>
    <xf numFmtId="165" fontId="17" fillId="0" borderId="26" xfId="0" applyNumberFormat="1" applyFont="1" applyBorder="1"/>
    <xf numFmtId="0" fontId="0" fillId="0" borderId="0" xfId="0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6" fontId="8" fillId="2" borderId="5" xfId="0" applyNumberFormat="1" applyFont="1" applyFill="1" applyBorder="1" applyAlignment="1">
      <alignment horizontal="center" vertical="center" wrapText="1"/>
    </xf>
    <xf numFmtId="164" fontId="10" fillId="0" borderId="26" xfId="0" applyNumberFormat="1" applyFont="1" applyBorder="1"/>
    <xf numFmtId="164" fontId="15" fillId="0" borderId="26" xfId="0" applyNumberFormat="1" applyFont="1" applyBorder="1"/>
    <xf numFmtId="0" fontId="15" fillId="0" borderId="26" xfId="0" applyFont="1" applyBorder="1" applyAlignment="1">
      <alignment horizontal="center"/>
    </xf>
    <xf numFmtId="0" fontId="15" fillId="0" borderId="26" xfId="0" applyFont="1" applyBorder="1" applyAlignment="1">
      <alignment wrapText="1"/>
    </xf>
    <xf numFmtId="0" fontId="15" fillId="3" borderId="26" xfId="0" applyFont="1" applyFill="1" applyBorder="1"/>
    <xf numFmtId="164" fontId="15" fillId="3" borderId="26" xfId="0" applyNumberFormat="1" applyFont="1" applyFill="1" applyBorder="1"/>
    <xf numFmtId="0" fontId="4" fillId="0" borderId="13" xfId="0" applyFont="1" applyBorder="1" applyAlignment="1">
      <alignment horizontal="justify" vertical="top" wrapText="1"/>
    </xf>
    <xf numFmtId="0" fontId="5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6" fillId="0" borderId="17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justify" vertical="center" wrapText="1"/>
    </xf>
    <xf numFmtId="0" fontId="12" fillId="0" borderId="16" xfId="0" applyFont="1" applyBorder="1" applyAlignment="1">
      <alignment horizontal="justify" vertical="top" wrapText="1"/>
    </xf>
    <xf numFmtId="0" fontId="12" fillId="0" borderId="13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26" xfId="0" applyFont="1" applyBorder="1" applyAlignment="1">
      <alignment horizontal="center"/>
    </xf>
    <xf numFmtId="0" fontId="0" fillId="0" borderId="26" xfId="0" applyBorder="1" applyAlignment="1">
      <alignment horizontal="right"/>
    </xf>
    <xf numFmtId="0" fontId="0" fillId="0" borderId="26" xfId="0" applyFont="1" applyBorder="1" applyAlignment="1">
      <alignment horizontal="center"/>
    </xf>
    <xf numFmtId="0" fontId="0" fillId="0" borderId="26" xfId="0" applyFont="1" applyBorder="1" applyAlignment="1">
      <alignment horizontal="right"/>
    </xf>
    <xf numFmtId="0" fontId="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9" fillId="0" borderId="26" xfId="0" applyFont="1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Border="1"/>
    <xf numFmtId="0" fontId="4" fillId="0" borderId="20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4" fillId="0" borderId="6" xfId="0" applyFont="1" applyBorder="1" applyAlignment="1">
      <alignment vertical="top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/>
    <xf numFmtId="0" fontId="4" fillId="0" borderId="8" xfId="0" applyFont="1" applyBorder="1"/>
    <xf numFmtId="0" fontId="3" fillId="0" borderId="9" xfId="0" applyFont="1" applyBorder="1" applyAlignment="1">
      <alignment horizontal="left" vertical="top"/>
    </xf>
    <xf numFmtId="0" fontId="3" fillId="0" borderId="9" xfId="0" applyFont="1" applyBorder="1" applyAlignment="1">
      <alignment vertical="top"/>
    </xf>
    <xf numFmtId="166" fontId="6" fillId="0" borderId="9" xfId="0" applyNumberFormat="1" applyFont="1" applyBorder="1" applyAlignment="1">
      <alignment horizontal="center" vertical="center" wrapText="1"/>
    </xf>
    <xf numFmtId="166" fontId="7" fillId="0" borderId="1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9" xfId="0" applyFont="1" applyBorder="1" applyAlignment="1">
      <alignment vertical="top"/>
    </xf>
    <xf numFmtId="166" fontId="8" fillId="0" borderId="9" xfId="0" applyNumberFormat="1" applyFont="1" applyBorder="1" applyAlignment="1">
      <alignment horizontal="center" vertical="center" wrapText="1"/>
    </xf>
    <xf numFmtId="166" fontId="18" fillId="0" borderId="10" xfId="0" applyNumberFormat="1" applyFont="1" applyBorder="1" applyAlignment="1">
      <alignment horizontal="center" vertical="center" wrapText="1"/>
    </xf>
    <xf numFmtId="167" fontId="8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164" fontId="0" fillId="0" borderId="0" xfId="0" applyNumberFormat="1"/>
    <xf numFmtId="0" fontId="3" fillId="0" borderId="21" xfId="0" applyFont="1" applyBorder="1" applyAlignment="1">
      <alignment horizontal="left" vertical="top"/>
    </xf>
    <xf numFmtId="0" fontId="3" fillId="0" borderId="21" xfId="0" applyFont="1" applyBorder="1" applyAlignment="1">
      <alignment vertical="top"/>
    </xf>
    <xf numFmtId="166" fontId="6" fillId="0" borderId="21" xfId="0" applyNumberFormat="1" applyFont="1" applyBorder="1" applyAlignment="1">
      <alignment horizontal="center" vertical="center" wrapText="1"/>
    </xf>
    <xf numFmtId="166" fontId="18" fillId="0" borderId="31" xfId="0" applyNumberFormat="1" applyFont="1" applyBorder="1" applyAlignment="1">
      <alignment horizontal="center" vertical="center" wrapText="1"/>
    </xf>
    <xf numFmtId="164" fontId="0" fillId="0" borderId="32" xfId="0" applyNumberFormat="1" applyBorder="1"/>
    <xf numFmtId="164" fontId="11" fillId="0" borderId="0" xfId="0" applyNumberFormat="1" applyFont="1"/>
    <xf numFmtId="164" fontId="9" fillId="0" borderId="0" xfId="0" applyNumberFormat="1" applyFont="1" applyBorder="1"/>
    <xf numFmtId="2" fontId="4" fillId="0" borderId="9" xfId="0" applyNumberFormat="1" applyFont="1" applyBorder="1"/>
    <xf numFmtId="166" fontId="6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166" fontId="8" fillId="0" borderId="5" xfId="0" applyNumberFormat="1" applyFont="1" applyBorder="1" applyAlignment="1">
      <alignment horizontal="center" vertical="center" wrapText="1"/>
    </xf>
    <xf numFmtId="166" fontId="18" fillId="0" borderId="33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19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justify" vertical="top" wrapText="1"/>
    </xf>
    <xf numFmtId="0" fontId="4" fillId="0" borderId="19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166" fontId="8" fillId="0" borderId="18" xfId="0" applyNumberFormat="1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justify" vertical="top" wrapText="1"/>
    </xf>
    <xf numFmtId="0" fontId="4" fillId="0" borderId="17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166" fontId="8" fillId="0" borderId="20" xfId="0" applyNumberFormat="1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66" fontId="6" fillId="0" borderId="2" xfId="0" applyNumberFormat="1" applyFont="1" applyBorder="1" applyAlignment="1">
      <alignment horizontal="center" vertical="top" wrapText="1"/>
    </xf>
    <xf numFmtId="166" fontId="6" fillId="0" borderId="15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166" fontId="6" fillId="0" borderId="18" xfId="0" applyNumberFormat="1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3" fillId="0" borderId="17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4" fillId="0" borderId="20" xfId="0" applyFont="1" applyBorder="1" applyAlignment="1">
      <alignment horizontal="center" vertical="top" wrapText="1"/>
    </xf>
    <xf numFmtId="166" fontId="8" fillId="0" borderId="6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3" fillId="0" borderId="2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166" fontId="6" fillId="0" borderId="11" xfId="0" applyNumberFormat="1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wrapText="1"/>
    </xf>
    <xf numFmtId="0" fontId="3" fillId="0" borderId="18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justify" vertical="top" wrapText="1"/>
    </xf>
    <xf numFmtId="0" fontId="0" fillId="0" borderId="18" xfId="0" applyBorder="1"/>
    <xf numFmtId="166" fontId="6" fillId="0" borderId="23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67"/>
  <sheetViews>
    <sheetView tabSelected="1" topLeftCell="A4" zoomScale="98" zoomScaleNormal="98" workbookViewId="0">
      <selection activeCell="C17" sqref="C17"/>
    </sheetView>
  </sheetViews>
  <sheetFormatPr baseColWidth="10" defaultRowHeight="12.75"/>
  <cols>
    <col min="1" max="1" width="2.7109375" customWidth="1"/>
    <col min="2" max="2" width="6.7109375" customWidth="1"/>
    <col min="3" max="3" width="41.7109375" customWidth="1"/>
    <col min="4" max="6" width="14.7109375" customWidth="1"/>
    <col min="7" max="7" width="16.7109375" customWidth="1"/>
    <col min="10" max="10" width="13.5703125" bestFit="1" customWidth="1"/>
  </cols>
  <sheetData>
    <row r="1" spans="1:7" ht="16.5">
      <c r="B1" s="134" t="s">
        <v>144</v>
      </c>
      <c r="C1" s="134"/>
      <c r="D1" s="134"/>
      <c r="E1" s="134"/>
      <c r="F1" s="134"/>
      <c r="G1" s="134"/>
    </row>
    <row r="2" spans="1:7" ht="16.5">
      <c r="A2" s="180"/>
    </row>
    <row r="3" spans="1:7" ht="16.5">
      <c r="A3" s="181"/>
      <c r="B3" s="182" t="s">
        <v>145</v>
      </c>
      <c r="C3" s="182"/>
      <c r="D3" s="182"/>
      <c r="E3" s="182"/>
      <c r="F3" s="182"/>
      <c r="G3" s="182"/>
    </row>
    <row r="4" spans="1:7" ht="16.5">
      <c r="A4" s="181"/>
      <c r="B4" s="182" t="s">
        <v>146</v>
      </c>
      <c r="C4" s="182"/>
      <c r="D4" s="182"/>
      <c r="E4" s="182"/>
      <c r="F4" s="182"/>
      <c r="G4" s="182"/>
    </row>
    <row r="5" spans="1:7" ht="13.5" customHeight="1">
      <c r="A5" s="183"/>
      <c r="B5" s="135" t="s">
        <v>147</v>
      </c>
      <c r="C5" s="135"/>
      <c r="D5" s="135"/>
      <c r="E5" s="135"/>
      <c r="F5" s="135"/>
      <c r="G5" s="135"/>
    </row>
    <row r="6" spans="1:7" ht="17.25" thickBot="1">
      <c r="A6" s="184"/>
    </row>
    <row r="7" spans="1:7" ht="14.25" thickBot="1">
      <c r="A7" s="185"/>
      <c r="B7" s="186"/>
      <c r="C7" s="187" t="s">
        <v>3</v>
      </c>
      <c r="D7" s="188" t="s">
        <v>4</v>
      </c>
      <c r="E7" s="189" t="s">
        <v>5</v>
      </c>
      <c r="F7" s="190"/>
      <c r="G7" s="191" t="s">
        <v>6</v>
      </c>
    </row>
    <row r="8" spans="1:7" ht="14.25" thickBot="1">
      <c r="A8" s="185"/>
      <c r="B8" s="192"/>
      <c r="C8" s="193"/>
      <c r="D8" s="194" t="s">
        <v>7</v>
      </c>
      <c r="E8" s="195" t="s">
        <v>8</v>
      </c>
      <c r="F8" s="195" t="s">
        <v>9</v>
      </c>
      <c r="G8" s="196" t="s">
        <v>7</v>
      </c>
    </row>
    <row r="9" spans="1:7" ht="13.5">
      <c r="A9" s="197"/>
      <c r="B9" s="198">
        <v>1</v>
      </c>
      <c r="C9" s="199" t="s">
        <v>10</v>
      </c>
      <c r="D9" s="200"/>
      <c r="E9" s="200"/>
      <c r="F9" s="200"/>
      <c r="G9" s="201"/>
    </row>
    <row r="10" spans="1:7" ht="13.5">
      <c r="A10" s="197"/>
      <c r="B10" s="202">
        <v>10</v>
      </c>
      <c r="C10" s="203" t="s">
        <v>11</v>
      </c>
      <c r="D10" s="204">
        <f>+D12</f>
        <v>85.03</v>
      </c>
      <c r="E10" s="204">
        <f>E11+E12</f>
        <v>215027.47999999998</v>
      </c>
      <c r="F10" s="204">
        <f>F11+F12</f>
        <v>207999.22000000003</v>
      </c>
      <c r="G10" s="205">
        <f>+D10+E10-F10</f>
        <v>7113.2899999999499</v>
      </c>
    </row>
    <row r="11" spans="1:7" ht="13.5">
      <c r="A11" s="206"/>
      <c r="B11" s="207">
        <v>1001</v>
      </c>
      <c r="C11" s="208" t="s">
        <v>12</v>
      </c>
      <c r="D11" s="209"/>
      <c r="E11" s="209">
        <f>27634+24804.4+27065.9</f>
        <v>79504.3</v>
      </c>
      <c r="F11" s="209">
        <v>79504.3</v>
      </c>
      <c r="G11" s="210">
        <f>+D11+E11-F11</f>
        <v>0</v>
      </c>
    </row>
    <row r="12" spans="1:7" ht="13.5">
      <c r="A12" s="206"/>
      <c r="B12" s="207">
        <v>1004</v>
      </c>
      <c r="C12" s="208" t="s">
        <v>14</v>
      </c>
      <c r="D12" s="209">
        <v>85.03</v>
      </c>
      <c r="E12" s="209">
        <f>44619.95+40846.28+50056.95</f>
        <v>135523.18</v>
      </c>
      <c r="F12" s="209">
        <f>41712.32+30773.7+56008.9</f>
        <v>128494.92000000001</v>
      </c>
      <c r="G12" s="210">
        <f>+D12+E12-F12</f>
        <v>7113.289999999979</v>
      </c>
    </row>
    <row r="13" spans="1:7" ht="13.5">
      <c r="A13" s="197"/>
      <c r="B13" s="202">
        <v>12</v>
      </c>
      <c r="C13" s="203" t="s">
        <v>148</v>
      </c>
      <c r="D13" s="209">
        <v>0</v>
      </c>
      <c r="E13" s="204">
        <f>E14</f>
        <v>823191</v>
      </c>
      <c r="F13" s="204">
        <f>F14</f>
        <v>823191</v>
      </c>
      <c r="G13" s="205">
        <f>+D13+E13-F13</f>
        <v>0</v>
      </c>
    </row>
    <row r="14" spans="1:7" ht="13.5">
      <c r="A14" s="206"/>
      <c r="B14" s="207">
        <v>1201</v>
      </c>
      <c r="C14" s="208" t="s">
        <v>149</v>
      </c>
      <c r="D14" s="209">
        <v>0</v>
      </c>
      <c r="E14" s="209">
        <f>284700+257888+280603</f>
        <v>823191</v>
      </c>
      <c r="F14" s="209">
        <v>823191</v>
      </c>
      <c r="G14" s="210">
        <f>+D14+E14-F14</f>
        <v>0</v>
      </c>
    </row>
    <row r="15" spans="1:7" ht="13.5">
      <c r="A15" s="206"/>
      <c r="B15" s="207">
        <v>1205</v>
      </c>
      <c r="C15" s="208" t="s">
        <v>150</v>
      </c>
      <c r="D15" s="209"/>
      <c r="E15" s="209"/>
      <c r="F15" s="209"/>
      <c r="G15" s="210"/>
    </row>
    <row r="16" spans="1:7" ht="13.5">
      <c r="A16" s="197"/>
      <c r="B16" s="202">
        <v>16</v>
      </c>
      <c r="C16" s="203" t="s">
        <v>151</v>
      </c>
      <c r="D16" s="204">
        <f>+D17</f>
        <v>0</v>
      </c>
      <c r="E16" s="204">
        <f>E17+E18</f>
        <v>0</v>
      </c>
      <c r="F16" s="204">
        <f>F17+F18</f>
        <v>0</v>
      </c>
      <c r="G16" s="205">
        <f t="shared" ref="G16:G24" si="0">+D16+E16-F16</f>
        <v>0</v>
      </c>
    </row>
    <row r="17" spans="1:10" ht="13.5">
      <c r="A17" s="206"/>
      <c r="B17" s="207">
        <v>1601</v>
      </c>
      <c r="C17" s="208" t="s">
        <v>152</v>
      </c>
      <c r="D17" s="209">
        <v>0</v>
      </c>
      <c r="E17" s="209"/>
      <c r="F17" s="209"/>
      <c r="G17" s="211">
        <f t="shared" si="0"/>
        <v>0</v>
      </c>
    </row>
    <row r="18" spans="1:10" ht="13.5">
      <c r="A18" s="206"/>
      <c r="B18" s="207">
        <v>1604</v>
      </c>
      <c r="C18" s="208" t="s">
        <v>153</v>
      </c>
      <c r="D18" s="204">
        <v>0</v>
      </c>
      <c r="E18" s="209">
        <v>0</v>
      </c>
      <c r="F18" s="209"/>
      <c r="G18" s="210">
        <f t="shared" si="0"/>
        <v>0</v>
      </c>
    </row>
    <row r="19" spans="1:10" ht="13.5">
      <c r="A19" s="197"/>
      <c r="B19" s="202">
        <v>18</v>
      </c>
      <c r="C19" s="203" t="s">
        <v>154</v>
      </c>
      <c r="D19" s="204">
        <f>+D20+D21+D22</f>
        <v>19549</v>
      </c>
      <c r="E19" s="204">
        <f>+E20+E21+E22</f>
        <v>0</v>
      </c>
      <c r="F19" s="204">
        <f>+F20+F21+F22</f>
        <v>4595.8900000000003</v>
      </c>
      <c r="G19" s="205">
        <f t="shared" si="0"/>
        <v>14953.11</v>
      </c>
    </row>
    <row r="20" spans="1:10" ht="13.5">
      <c r="A20" s="206"/>
      <c r="B20" s="207">
        <v>1801</v>
      </c>
      <c r="C20" s="208" t="s">
        <v>155</v>
      </c>
      <c r="D20" s="209">
        <v>23032</v>
      </c>
      <c r="E20" s="209"/>
      <c r="F20" s="209"/>
      <c r="G20" s="210">
        <f t="shared" si="0"/>
        <v>23032</v>
      </c>
    </row>
    <row r="21" spans="1:10" ht="13.5">
      <c r="A21" s="206"/>
      <c r="B21" s="207">
        <v>1802</v>
      </c>
      <c r="C21" s="208" t="s">
        <v>156</v>
      </c>
      <c r="D21" s="209">
        <v>88050</v>
      </c>
      <c r="E21" s="209">
        <v>0</v>
      </c>
      <c r="F21" s="209"/>
      <c r="G21" s="210">
        <f t="shared" si="0"/>
        <v>88050</v>
      </c>
    </row>
    <row r="22" spans="1:10" ht="13.5">
      <c r="A22" s="206"/>
      <c r="B22" s="207">
        <v>1809</v>
      </c>
      <c r="C22" s="208" t="s">
        <v>157</v>
      </c>
      <c r="D22" s="209">
        <v>-91533</v>
      </c>
      <c r="E22" s="209"/>
      <c r="F22" s="209">
        <v>4595.8900000000003</v>
      </c>
      <c r="G22" s="210">
        <f t="shared" si="0"/>
        <v>-96128.89</v>
      </c>
    </row>
    <row r="23" spans="1:10" ht="13.5">
      <c r="A23" s="197"/>
      <c r="B23" s="202">
        <v>19</v>
      </c>
      <c r="C23" s="203" t="s">
        <v>158</v>
      </c>
      <c r="D23" s="204">
        <f>+D24</f>
        <v>5100</v>
      </c>
      <c r="E23" s="204">
        <f>E24</f>
        <v>1700</v>
      </c>
      <c r="F23" s="204">
        <f>F24</f>
        <v>5100</v>
      </c>
      <c r="G23" s="205">
        <f t="shared" si="0"/>
        <v>1700</v>
      </c>
    </row>
    <row r="24" spans="1:10" ht="13.5">
      <c r="A24" s="206"/>
      <c r="B24" s="207">
        <v>1907</v>
      </c>
      <c r="C24" s="208" t="s">
        <v>159</v>
      </c>
      <c r="D24" s="209">
        <v>5100</v>
      </c>
      <c r="E24" s="209">
        <v>1700</v>
      </c>
      <c r="F24" s="209">
        <v>5100</v>
      </c>
      <c r="G24" s="210">
        <f t="shared" si="0"/>
        <v>1700</v>
      </c>
    </row>
    <row r="25" spans="1:10" ht="13.5">
      <c r="A25" s="197"/>
      <c r="B25" s="202">
        <v>2</v>
      </c>
      <c r="C25" s="203" t="s">
        <v>17</v>
      </c>
      <c r="D25" s="212"/>
      <c r="E25" s="212"/>
      <c r="F25" s="212"/>
      <c r="G25" s="213"/>
    </row>
    <row r="26" spans="1:10" ht="13.5">
      <c r="A26" s="197"/>
      <c r="B26" s="202">
        <v>20</v>
      </c>
      <c r="C26" s="203" t="s">
        <v>160</v>
      </c>
      <c r="D26" s="204">
        <f>+D27+D28+D29+D30</f>
        <v>-93139.26999999999</v>
      </c>
      <c r="E26" s="204">
        <f>+E27+E28+E29+E30</f>
        <v>196988.02000000002</v>
      </c>
      <c r="F26" s="204">
        <f>+F27+F28+F29+F30</f>
        <v>183631.34</v>
      </c>
      <c r="G26" s="205">
        <f t="shared" ref="G26:G34" si="1">+D26+E26-F26</f>
        <v>-79782.589999999967</v>
      </c>
    </row>
    <row r="27" spans="1:10" ht="13.5">
      <c r="A27" s="206"/>
      <c r="B27" s="207">
        <v>2001</v>
      </c>
      <c r="C27" s="208" t="s">
        <v>161</v>
      </c>
      <c r="D27" s="209">
        <v>1922</v>
      </c>
      <c r="E27" s="209">
        <v>5142</v>
      </c>
      <c r="F27" s="209">
        <v>8808</v>
      </c>
      <c r="G27" s="210">
        <f t="shared" si="1"/>
        <v>-1744</v>
      </c>
    </row>
    <row r="28" spans="1:10" ht="13.5">
      <c r="A28" s="206"/>
      <c r="B28" s="207">
        <v>2002</v>
      </c>
      <c r="C28" s="208" t="s">
        <v>162</v>
      </c>
      <c r="D28" s="209">
        <v>-2208.66</v>
      </c>
      <c r="E28" s="209">
        <v>8107.98</v>
      </c>
      <c r="F28" s="209">
        <v>8645.32</v>
      </c>
      <c r="G28" s="210">
        <f t="shared" si="1"/>
        <v>-2746</v>
      </c>
    </row>
    <row r="29" spans="1:10" ht="13.5">
      <c r="A29" s="206"/>
      <c r="B29" s="207">
        <v>2003</v>
      </c>
      <c r="C29" s="208" t="s">
        <v>163</v>
      </c>
      <c r="D29" s="209">
        <v>-7853.32</v>
      </c>
      <c r="E29" s="209">
        <v>53401.99</v>
      </c>
      <c r="F29" s="209">
        <f>62179.67+22750</f>
        <v>84929.67</v>
      </c>
      <c r="G29" s="210">
        <f t="shared" si="1"/>
        <v>-39381</v>
      </c>
    </row>
    <row r="30" spans="1:10" ht="13.5">
      <c r="A30" s="206"/>
      <c r="B30" s="207">
        <v>2009</v>
      </c>
      <c r="C30" s="208" t="s">
        <v>164</v>
      </c>
      <c r="D30" s="209">
        <v>-84999.29</v>
      </c>
      <c r="E30" s="209">
        <v>130336.05</v>
      </c>
      <c r="F30" s="209">
        <f>81248.35</f>
        <v>81248.350000000006</v>
      </c>
      <c r="G30" s="210">
        <f>+D30+E30-F30</f>
        <v>-35911.589999999997</v>
      </c>
      <c r="J30" s="214">
        <v>1700</v>
      </c>
    </row>
    <row r="31" spans="1:10" ht="13.5">
      <c r="A31" s="197"/>
      <c r="B31" s="215">
        <v>22</v>
      </c>
      <c r="C31" s="216" t="s">
        <v>165</v>
      </c>
      <c r="D31" s="217">
        <v>0</v>
      </c>
      <c r="E31" s="217">
        <f>E32</f>
        <v>615302.40000000002</v>
      </c>
      <c r="F31" s="217">
        <f>F32</f>
        <v>615302.40000000002</v>
      </c>
      <c r="G31" s="205">
        <f t="shared" si="1"/>
        <v>0</v>
      </c>
      <c r="J31" s="214">
        <v>18000</v>
      </c>
    </row>
    <row r="32" spans="1:10" ht="13.5">
      <c r="A32" s="206"/>
      <c r="B32" s="207">
        <v>2205</v>
      </c>
      <c r="C32" s="208" t="s">
        <v>166</v>
      </c>
      <c r="D32" s="209">
        <v>0</v>
      </c>
      <c r="E32" s="209">
        <f>212448+192239.2+210615.2</f>
        <v>615302.40000000002</v>
      </c>
      <c r="F32" s="209">
        <v>615302.40000000002</v>
      </c>
      <c r="G32" s="218">
        <f t="shared" si="1"/>
        <v>0</v>
      </c>
      <c r="J32" s="219">
        <v>16211.59</v>
      </c>
    </row>
    <row r="33" spans="1:10" ht="13.5">
      <c r="A33" s="206"/>
      <c r="B33" s="207">
        <v>2206</v>
      </c>
      <c r="C33" s="208" t="s">
        <v>40</v>
      </c>
      <c r="D33" s="209">
        <v>0</v>
      </c>
      <c r="E33" s="209"/>
      <c r="F33" s="209"/>
      <c r="G33" s="218">
        <f t="shared" si="1"/>
        <v>0</v>
      </c>
      <c r="J33" s="220">
        <f>SUM(J30:J32)</f>
        <v>35911.589999999997</v>
      </c>
    </row>
    <row r="34" spans="1:10" ht="13.5">
      <c r="A34" s="206"/>
      <c r="B34" s="207">
        <v>2207</v>
      </c>
      <c r="C34" s="208" t="s">
        <v>167</v>
      </c>
      <c r="D34" s="209">
        <v>0</v>
      </c>
      <c r="E34" s="209">
        <v>0</v>
      </c>
      <c r="F34" s="209">
        <v>0</v>
      </c>
      <c r="G34" s="218">
        <f t="shared" si="1"/>
        <v>0</v>
      </c>
      <c r="J34" s="221"/>
    </row>
    <row r="35" spans="1:10" ht="13.5">
      <c r="A35" s="197"/>
      <c r="B35" s="202">
        <v>28</v>
      </c>
      <c r="C35" s="203" t="s">
        <v>168</v>
      </c>
      <c r="D35" s="204">
        <f>+D36</f>
        <v>0</v>
      </c>
      <c r="E35" s="204">
        <f>+E36</f>
        <v>11011.2</v>
      </c>
      <c r="F35" s="204">
        <f>F36</f>
        <v>13422</v>
      </c>
      <c r="G35" s="205">
        <f>+D35+E35-F35</f>
        <v>-2410.7999999999993</v>
      </c>
    </row>
    <row r="36" spans="1:10" ht="13.5">
      <c r="A36" s="206"/>
      <c r="B36" s="207">
        <v>2801</v>
      </c>
      <c r="C36" s="208" t="s">
        <v>169</v>
      </c>
      <c r="D36" s="209">
        <v>0</v>
      </c>
      <c r="E36" s="209">
        <v>11011.2</v>
      </c>
      <c r="F36" s="209">
        <v>13422</v>
      </c>
      <c r="G36" s="210">
        <f>+D36+E36-F36</f>
        <v>-2410.7999999999993</v>
      </c>
    </row>
    <row r="37" spans="1:10" ht="13.5">
      <c r="A37" s="206"/>
      <c r="B37" s="207">
        <v>2809</v>
      </c>
      <c r="C37" s="208" t="s">
        <v>170</v>
      </c>
      <c r="D37" s="209">
        <v>0</v>
      </c>
      <c r="E37" s="209">
        <v>0</v>
      </c>
      <c r="F37" s="209">
        <v>0</v>
      </c>
      <c r="G37" s="210">
        <f>+D37+E37-F37</f>
        <v>0</v>
      </c>
    </row>
    <row r="38" spans="1:10" ht="13.5">
      <c r="A38" s="206"/>
      <c r="B38" s="202">
        <v>29</v>
      </c>
      <c r="C38" s="203" t="s">
        <v>171</v>
      </c>
      <c r="D38" s="204">
        <f>+D40</f>
        <v>-45356</v>
      </c>
      <c r="E38" s="204">
        <f>E39+E40</f>
        <v>0</v>
      </c>
      <c r="F38" s="204">
        <f>F39+F40</f>
        <v>0</v>
      </c>
      <c r="G38" s="205">
        <f>+D38+E38-F38</f>
        <v>-45356</v>
      </c>
    </row>
    <row r="39" spans="1:10" ht="13.5">
      <c r="A39" s="206"/>
      <c r="B39" s="207">
        <v>2902</v>
      </c>
      <c r="C39" s="208" t="s">
        <v>172</v>
      </c>
      <c r="D39" s="209">
        <v>0</v>
      </c>
      <c r="E39" s="209">
        <v>0</v>
      </c>
      <c r="F39" s="209">
        <v>0</v>
      </c>
      <c r="G39" s="210">
        <v>0</v>
      </c>
    </row>
    <row r="40" spans="1:10" ht="13.5">
      <c r="A40" s="206"/>
      <c r="B40" s="207">
        <v>2909</v>
      </c>
      <c r="C40" s="208" t="s">
        <v>173</v>
      </c>
      <c r="D40" s="209">
        <v>-45356</v>
      </c>
      <c r="E40" s="209"/>
      <c r="F40" s="209">
        <v>0</v>
      </c>
      <c r="G40" s="218">
        <f>+D40+E40-F40</f>
        <v>-45356</v>
      </c>
    </row>
    <row r="41" spans="1:10" ht="13.5">
      <c r="A41" s="197"/>
      <c r="B41" s="202">
        <v>3</v>
      </c>
      <c r="C41" s="203" t="s">
        <v>22</v>
      </c>
      <c r="D41" s="212"/>
      <c r="E41" s="222"/>
      <c r="F41" s="222"/>
      <c r="G41" s="213"/>
    </row>
    <row r="42" spans="1:10" ht="13.5">
      <c r="A42" s="197"/>
      <c r="B42" s="202">
        <v>37</v>
      </c>
      <c r="C42" s="203" t="s">
        <v>24</v>
      </c>
      <c r="D42" s="204">
        <f>+D43</f>
        <v>-17758</v>
      </c>
      <c r="E42" s="204"/>
      <c r="F42" s="204"/>
      <c r="G42" s="205">
        <f>+D42+E42-F42</f>
        <v>-17758</v>
      </c>
    </row>
    <row r="43" spans="1:10" ht="13.5">
      <c r="A43" s="206"/>
      <c r="B43" s="207">
        <v>3702</v>
      </c>
      <c r="C43" s="208" t="s">
        <v>26</v>
      </c>
      <c r="D43" s="209">
        <v>-17758</v>
      </c>
      <c r="E43" s="209"/>
      <c r="F43" s="209"/>
      <c r="G43" s="210">
        <f>+D43+E43-F43</f>
        <v>-17758</v>
      </c>
    </row>
    <row r="44" spans="1:10" ht="13.5">
      <c r="A44" s="197"/>
      <c r="B44" s="202">
        <v>38</v>
      </c>
      <c r="C44" s="203" t="s">
        <v>28</v>
      </c>
      <c r="D44" s="204">
        <f>+D45</f>
        <v>-3847</v>
      </c>
      <c r="E44" s="204"/>
      <c r="F44" s="204"/>
      <c r="G44" s="204">
        <f>+G46+G45</f>
        <v>-3847</v>
      </c>
    </row>
    <row r="45" spans="1:10" ht="13.5">
      <c r="A45" s="206"/>
      <c r="B45" s="207">
        <v>3801</v>
      </c>
      <c r="C45" s="208" t="s">
        <v>174</v>
      </c>
      <c r="D45" s="209">
        <v>-3847</v>
      </c>
      <c r="E45" s="209"/>
      <c r="F45" s="209"/>
      <c r="G45" s="210">
        <f>+D45+E45-F45</f>
        <v>-3847</v>
      </c>
    </row>
    <row r="46" spans="1:10" ht="13.5">
      <c r="A46" s="206"/>
      <c r="B46" s="207">
        <v>3802</v>
      </c>
      <c r="C46" s="208" t="s">
        <v>175</v>
      </c>
      <c r="D46" s="209">
        <v>0</v>
      </c>
      <c r="E46" s="209"/>
      <c r="F46" s="209"/>
      <c r="G46" s="210">
        <f>+D46+E46-F46</f>
        <v>0</v>
      </c>
    </row>
    <row r="47" spans="1:10" ht="13.5">
      <c r="A47" s="197"/>
      <c r="B47" s="202">
        <v>4</v>
      </c>
      <c r="C47" s="203" t="s">
        <v>31</v>
      </c>
      <c r="D47" s="212"/>
      <c r="E47" s="212"/>
      <c r="F47" s="212"/>
      <c r="G47" s="213"/>
    </row>
    <row r="48" spans="1:10" ht="13.5">
      <c r="A48" s="197"/>
      <c r="B48" s="202">
        <v>47</v>
      </c>
      <c r="C48" s="203" t="s">
        <v>34</v>
      </c>
      <c r="D48" s="204">
        <f>+D49+D50+D51+D52</f>
        <v>796947.44</v>
      </c>
      <c r="E48" s="204">
        <f>E49+E50+E51+E52+E54+E53</f>
        <v>197910.35</v>
      </c>
      <c r="F48" s="204"/>
      <c r="G48" s="205">
        <f>SUM(G49:G54)</f>
        <v>994857.78999999992</v>
      </c>
    </row>
    <row r="49" spans="1:10" ht="13.5">
      <c r="A49" s="206"/>
      <c r="B49" s="207">
        <v>4701</v>
      </c>
      <c r="C49" s="208" t="s">
        <v>176</v>
      </c>
      <c r="D49" s="209">
        <v>252851.44</v>
      </c>
      <c r="E49" s="209">
        <f>20574.84+21119.84+21119.84+4759.78</f>
        <v>67574.3</v>
      </c>
      <c r="F49" s="209"/>
      <c r="G49" s="210">
        <f t="shared" ref="G49:G54" si="2">+D49+E49-F49</f>
        <v>320425.74</v>
      </c>
      <c r="J49" s="214"/>
    </row>
    <row r="50" spans="1:10" ht="13.5">
      <c r="A50" s="206"/>
      <c r="B50" s="207">
        <v>4702</v>
      </c>
      <c r="C50" s="208" t="s">
        <v>177</v>
      </c>
      <c r="D50" s="209">
        <v>344819.3</v>
      </c>
      <c r="E50" s="209">
        <f>27634+24804.4+27065.9</f>
        <v>79504.3</v>
      </c>
      <c r="F50" s="209"/>
      <c r="G50" s="210">
        <f t="shared" si="2"/>
        <v>424323.6</v>
      </c>
    </row>
    <row r="51" spans="1:10" ht="13.5">
      <c r="A51" s="206"/>
      <c r="B51" s="207">
        <v>4703</v>
      </c>
      <c r="C51" s="208" t="s">
        <v>178</v>
      </c>
      <c r="D51" s="209">
        <v>894.2</v>
      </c>
      <c r="E51" s="209">
        <v>0</v>
      </c>
      <c r="F51" s="209"/>
      <c r="G51" s="210">
        <f t="shared" si="2"/>
        <v>894.2</v>
      </c>
      <c r="J51" s="20"/>
    </row>
    <row r="52" spans="1:10" ht="13.5">
      <c r="A52" s="206"/>
      <c r="B52" s="207">
        <v>4704</v>
      </c>
      <c r="C52" s="208" t="s">
        <v>36</v>
      </c>
      <c r="D52" s="209">
        <v>198382.5</v>
      </c>
      <c r="E52" s="209">
        <f>21136.55+15382.5+14312.7</f>
        <v>50831.75</v>
      </c>
      <c r="F52" s="209"/>
      <c r="G52" s="210">
        <f t="shared" si="2"/>
        <v>249214.25</v>
      </c>
    </row>
    <row r="53" spans="1:10" ht="13.5">
      <c r="A53" s="206"/>
      <c r="B53" s="207">
        <v>4705</v>
      </c>
      <c r="C53" s="208" t="s">
        <v>179</v>
      </c>
      <c r="D53" s="209">
        <v>0</v>
      </c>
      <c r="E53" s="209"/>
      <c r="F53" s="209"/>
      <c r="G53" s="210">
        <f t="shared" si="2"/>
        <v>0</v>
      </c>
    </row>
    <row r="54" spans="1:10" ht="13.5">
      <c r="A54" s="206"/>
      <c r="B54" s="207">
        <v>4706</v>
      </c>
      <c r="C54" s="208" t="s">
        <v>180</v>
      </c>
      <c r="D54" s="209">
        <v>0</v>
      </c>
      <c r="E54" s="209"/>
      <c r="F54" s="209"/>
      <c r="G54" s="210">
        <f t="shared" si="2"/>
        <v>0</v>
      </c>
    </row>
    <row r="55" spans="1:10" ht="13.5">
      <c r="A55" s="197"/>
      <c r="B55" s="202">
        <v>5</v>
      </c>
      <c r="C55" s="203" t="s">
        <v>37</v>
      </c>
      <c r="D55" s="212"/>
      <c r="E55" s="209"/>
      <c r="F55" s="209"/>
      <c r="G55" s="210"/>
    </row>
    <row r="56" spans="1:10" ht="13.5">
      <c r="A56" s="197"/>
      <c r="B56" s="202">
        <v>50</v>
      </c>
      <c r="C56" s="203" t="s">
        <v>38</v>
      </c>
      <c r="D56" s="204">
        <f>+D57</f>
        <v>-567367.19999999995</v>
      </c>
      <c r="E56" s="204">
        <f>+E57</f>
        <v>0</v>
      </c>
      <c r="F56" s="204">
        <f>+F57</f>
        <v>153825.60000000001</v>
      </c>
      <c r="G56" s="205">
        <f>D56+E56-F56</f>
        <v>-721192.79999999993</v>
      </c>
    </row>
    <row r="57" spans="1:10" ht="13.5">
      <c r="A57" s="206"/>
      <c r="B57" s="207">
        <v>5002</v>
      </c>
      <c r="C57" s="208" t="s">
        <v>181</v>
      </c>
      <c r="D57" s="209">
        <v>-567367.19999999995</v>
      </c>
      <c r="E57" s="209">
        <v>0</v>
      </c>
      <c r="F57" s="209">
        <f>53112+48059.8+52653.8</f>
        <v>153825.60000000001</v>
      </c>
      <c r="G57" s="210">
        <f>+D57+E57-F57</f>
        <v>-721192.79999999993</v>
      </c>
    </row>
    <row r="58" spans="1:10" ht="13.5">
      <c r="A58" s="197"/>
      <c r="B58" s="202">
        <v>57</v>
      </c>
      <c r="C58" s="203" t="s">
        <v>41</v>
      </c>
      <c r="D58" s="204">
        <f>+D59</f>
        <v>-94214</v>
      </c>
      <c r="E58" s="204"/>
      <c r="F58" s="204">
        <f>F59</f>
        <v>54063</v>
      </c>
      <c r="G58" s="204">
        <f>G59</f>
        <v>-148277</v>
      </c>
    </row>
    <row r="59" spans="1:10" ht="13.5">
      <c r="A59" s="206"/>
      <c r="B59" s="207">
        <v>5705</v>
      </c>
      <c r="C59" s="208" t="s">
        <v>182</v>
      </c>
      <c r="D59" s="209">
        <v>-94214</v>
      </c>
      <c r="E59" s="209"/>
      <c r="F59" s="209">
        <f>540+540+435+18600+17049+16899</f>
        <v>54063</v>
      </c>
      <c r="G59" s="210">
        <f>+D59+E59-F59</f>
        <v>-148277</v>
      </c>
    </row>
    <row r="60" spans="1:10" ht="13.5">
      <c r="A60" s="197"/>
      <c r="B60" s="202">
        <v>82</v>
      </c>
      <c r="C60" s="203" t="s">
        <v>183</v>
      </c>
      <c r="D60" s="204">
        <f>+D61</f>
        <v>-134950</v>
      </c>
      <c r="E60" s="204">
        <f>E61</f>
        <v>61250</v>
      </c>
      <c r="F60" s="205">
        <f>F61</f>
        <v>77200</v>
      </c>
      <c r="G60" s="204">
        <f>G61</f>
        <v>-150900</v>
      </c>
    </row>
    <row r="61" spans="1:10" ht="13.5">
      <c r="A61" s="206"/>
      <c r="B61" s="207">
        <v>8203</v>
      </c>
      <c r="C61" s="208" t="s">
        <v>184</v>
      </c>
      <c r="D61" s="209">
        <v>-134950</v>
      </c>
      <c r="E61" s="209">
        <v>61250</v>
      </c>
      <c r="F61" s="210">
        <v>77200</v>
      </c>
      <c r="G61" s="209">
        <f>D61+E61-F61</f>
        <v>-150900</v>
      </c>
    </row>
    <row r="62" spans="1:10" ht="14.25" thickBot="1">
      <c r="A62" s="197"/>
      <c r="B62" s="202">
        <v>83</v>
      </c>
      <c r="C62" s="203" t="s">
        <v>185</v>
      </c>
      <c r="D62" s="204">
        <f>+D63</f>
        <v>134950</v>
      </c>
      <c r="E62" s="223">
        <f>E63</f>
        <v>77200</v>
      </c>
      <c r="F62" s="205">
        <f>F63</f>
        <v>61250</v>
      </c>
      <c r="G62" s="204">
        <f>G63</f>
        <v>150900</v>
      </c>
    </row>
    <row r="63" spans="1:10" ht="14.25" thickBot="1">
      <c r="A63" s="206"/>
      <c r="B63" s="224">
        <v>8301</v>
      </c>
      <c r="C63" s="225" t="s">
        <v>185</v>
      </c>
      <c r="D63" s="226">
        <v>134950</v>
      </c>
      <c r="E63" s="226">
        <f>+F61</f>
        <v>77200</v>
      </c>
      <c r="F63" s="227">
        <f>+E61</f>
        <v>61250</v>
      </c>
      <c r="G63" s="226">
        <f>D63+E63-F63</f>
        <v>150900</v>
      </c>
    </row>
    <row r="64" spans="1:10" ht="13.5">
      <c r="A64" s="35"/>
      <c r="B64" s="35"/>
      <c r="C64" s="36"/>
      <c r="D64" s="37"/>
      <c r="E64" s="37">
        <f>SUM(E9:E63)</f>
        <v>4399160.9000000004</v>
      </c>
      <c r="F64" s="37">
        <f>SUM(F9:F63)</f>
        <v>4399160.8999999994</v>
      </c>
      <c r="G64" s="37"/>
    </row>
    <row r="65" spans="1:7" ht="13.5">
      <c r="A65" s="35"/>
      <c r="B65" s="35"/>
      <c r="C65" s="36"/>
      <c r="D65" s="37"/>
      <c r="E65" s="37"/>
      <c r="F65" s="228">
        <f>E64-F64</f>
        <v>0</v>
      </c>
      <c r="G65" s="37"/>
    </row>
    <row r="66" spans="1:7" ht="13.5">
      <c r="A66" s="35"/>
      <c r="B66" s="35"/>
      <c r="C66" s="36"/>
      <c r="D66" s="229">
        <f>247155-81800</f>
        <v>165355</v>
      </c>
      <c r="E66" s="37"/>
      <c r="F66" s="37"/>
      <c r="G66" s="37"/>
    </row>
    <row r="67" spans="1:7" ht="13.5">
      <c r="A67" s="35"/>
      <c r="B67" s="35"/>
      <c r="C67" s="36"/>
      <c r="D67" s="37"/>
      <c r="E67" s="37"/>
      <c r="F67" s="37"/>
      <c r="G67" s="37"/>
    </row>
  </sheetData>
  <mergeCells count="4">
    <mergeCell ref="B1:G1"/>
    <mergeCell ref="B3:G3"/>
    <mergeCell ref="B4:G4"/>
    <mergeCell ref="B5:G5"/>
  </mergeCells>
  <pageMargins left="0.39370078740157483" right="0" top="0" bottom="0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K37"/>
  <sheetViews>
    <sheetView zoomScale="118" zoomScaleNormal="118" workbookViewId="0">
      <selection activeCell="B3" sqref="B3:G3"/>
    </sheetView>
  </sheetViews>
  <sheetFormatPr baseColWidth="10" defaultRowHeight="12.75"/>
  <cols>
    <col min="1" max="1" width="2.5703125" customWidth="1"/>
    <col min="2" max="2" width="31.7109375" customWidth="1"/>
    <col min="3" max="3" width="10.7109375" customWidth="1"/>
    <col min="4" max="5" width="12.7109375" customWidth="1"/>
    <col min="6" max="6" width="28.7109375" customWidth="1"/>
    <col min="7" max="7" width="10.7109375" customWidth="1"/>
    <col min="8" max="9" width="12.7109375" customWidth="1"/>
    <col min="11" max="11" width="14.5703125" customWidth="1"/>
  </cols>
  <sheetData>
    <row r="2" spans="2:9" ht="13.5">
      <c r="B2" s="230" t="s">
        <v>186</v>
      </c>
      <c r="C2" s="230"/>
      <c r="D2" s="230"/>
      <c r="E2" s="230"/>
      <c r="F2" s="230"/>
      <c r="G2" s="230"/>
      <c r="H2" s="230"/>
      <c r="I2" s="230"/>
    </row>
    <row r="3" spans="2:9" ht="13.5">
      <c r="B3" s="231"/>
      <c r="C3" s="231"/>
      <c r="D3" s="231"/>
      <c r="E3" s="231"/>
      <c r="F3" s="231"/>
      <c r="G3" s="231"/>
      <c r="H3" s="231"/>
      <c r="I3" s="231"/>
    </row>
    <row r="4" spans="2:9">
      <c r="B4" s="142" t="s">
        <v>187</v>
      </c>
      <c r="C4" s="142"/>
      <c r="D4" s="142"/>
      <c r="E4" s="142"/>
      <c r="F4" s="142"/>
      <c r="G4" s="142"/>
      <c r="H4" s="142"/>
      <c r="I4" s="142"/>
    </row>
    <row r="5" spans="2:9">
      <c r="B5" s="142" t="s">
        <v>188</v>
      </c>
      <c r="C5" s="142"/>
      <c r="D5" s="142"/>
      <c r="E5" s="142"/>
      <c r="F5" s="142"/>
      <c r="G5" s="142"/>
      <c r="H5" s="142"/>
      <c r="I5" s="142"/>
    </row>
    <row r="6" spans="2:9">
      <c r="B6" s="42"/>
    </row>
    <row r="7" spans="2:9" ht="13.5" thickBot="1">
      <c r="B7" s="42"/>
    </row>
    <row r="8" spans="2:9" ht="13.5">
      <c r="B8" s="232" t="s">
        <v>10</v>
      </c>
      <c r="C8" s="233"/>
      <c r="D8" s="44" t="s">
        <v>48</v>
      </c>
      <c r="E8" s="132" t="s">
        <v>49</v>
      </c>
      <c r="F8" s="232" t="s">
        <v>50</v>
      </c>
      <c r="G8" s="233"/>
      <c r="H8" s="131" t="s">
        <v>48</v>
      </c>
      <c r="I8" s="44" t="s">
        <v>49</v>
      </c>
    </row>
    <row r="9" spans="2:9" ht="14.25" thickBot="1">
      <c r="B9" s="234"/>
      <c r="C9" s="235"/>
      <c r="D9" s="47" t="s">
        <v>7</v>
      </c>
      <c r="E9" s="48" t="s">
        <v>7</v>
      </c>
      <c r="F9" s="234"/>
      <c r="G9" s="235"/>
      <c r="H9" s="47" t="s">
        <v>7</v>
      </c>
      <c r="I9" s="48" t="s">
        <v>7</v>
      </c>
    </row>
    <row r="10" spans="2:9" ht="13.5">
      <c r="B10" s="236" t="s">
        <v>51</v>
      </c>
      <c r="C10" s="237"/>
      <c r="D10" s="79">
        <f>'FORMATO "B-C" AFOCAT'!G10</f>
        <v>7113.2899999999499</v>
      </c>
      <c r="E10" s="78">
        <v>7477</v>
      </c>
      <c r="F10" s="236"/>
      <c r="G10" s="238"/>
      <c r="H10" s="79"/>
      <c r="I10" s="239"/>
    </row>
    <row r="11" spans="2:9" ht="13.5">
      <c r="B11" s="240"/>
      <c r="C11" s="241"/>
      <c r="D11" s="242"/>
      <c r="E11" s="243"/>
      <c r="F11" s="240" t="s">
        <v>189</v>
      </c>
      <c r="G11" s="244"/>
      <c r="H11" s="242">
        <f>-'FORMATO "B-C" AFOCAT'!G26</f>
        <v>79782.589999999967</v>
      </c>
      <c r="I11" s="242">
        <v>23563</v>
      </c>
    </row>
    <row r="12" spans="2:9" ht="13.5">
      <c r="B12" s="240" t="s">
        <v>190</v>
      </c>
      <c r="C12" s="241"/>
      <c r="D12" s="242">
        <f>'FORMATO "B-C" AFOCAT'!G16</f>
        <v>0</v>
      </c>
      <c r="E12" s="242">
        <v>58168</v>
      </c>
      <c r="F12" s="240" t="s">
        <v>191</v>
      </c>
      <c r="G12" s="244"/>
      <c r="H12" s="242">
        <f>-'FORMATO "B-C" AFOCAT'!G31</f>
        <v>0</v>
      </c>
      <c r="I12" s="242">
        <v>0</v>
      </c>
    </row>
    <row r="13" spans="2:9" ht="13.5">
      <c r="B13" s="245"/>
      <c r="C13" s="246"/>
      <c r="D13" s="242"/>
      <c r="E13" s="247"/>
      <c r="F13" s="240" t="s">
        <v>192</v>
      </c>
      <c r="G13" s="244"/>
      <c r="H13" s="242">
        <f>-'FORMATO "B-C" AFOCAT'!G35</f>
        <v>2410.7999999999993</v>
      </c>
      <c r="I13" s="242">
        <v>3670</v>
      </c>
    </row>
    <row r="14" spans="2:9" ht="13.5">
      <c r="B14" s="245"/>
      <c r="C14" s="246"/>
      <c r="D14" s="242"/>
      <c r="E14" s="247"/>
      <c r="F14" s="240" t="s">
        <v>193</v>
      </c>
      <c r="G14" s="244"/>
      <c r="H14" s="242">
        <f>-'FORMATO "B-C" AFOCAT'!G38</f>
        <v>45356</v>
      </c>
      <c r="I14" s="242">
        <v>45356</v>
      </c>
    </row>
    <row r="15" spans="2:9" ht="13.5">
      <c r="B15" s="245"/>
      <c r="C15" s="246"/>
      <c r="D15" s="242"/>
      <c r="E15" s="247"/>
      <c r="F15" s="240"/>
      <c r="G15" s="244"/>
      <c r="H15" s="242"/>
      <c r="I15" s="247"/>
    </row>
    <row r="16" spans="2:9" ht="13.5">
      <c r="B16" s="240" t="s">
        <v>194</v>
      </c>
      <c r="C16" s="241"/>
      <c r="D16" s="242">
        <f>'FORMATO "B-C" AFOCAT'!G19</f>
        <v>14953.11</v>
      </c>
      <c r="E16" s="248">
        <v>19549</v>
      </c>
      <c r="F16" s="240"/>
      <c r="G16" s="244"/>
      <c r="H16" s="242"/>
      <c r="I16" s="249"/>
    </row>
    <row r="17" spans="2:11" ht="14.25" thickBot="1">
      <c r="B17" s="240" t="s">
        <v>195</v>
      </c>
      <c r="C17" s="241"/>
      <c r="D17" s="242">
        <f>'FORMATO "B-C" AFOCAT'!G23</f>
        <v>1700</v>
      </c>
      <c r="E17" s="248">
        <v>9000</v>
      </c>
      <c r="F17" s="240"/>
      <c r="G17" s="244"/>
      <c r="H17" s="242"/>
      <c r="I17" s="249"/>
    </row>
    <row r="18" spans="2:11" ht="13.5">
      <c r="B18" s="240"/>
      <c r="C18" s="241"/>
      <c r="D18" s="242"/>
      <c r="E18" s="243"/>
      <c r="F18" s="250" t="s">
        <v>55</v>
      </c>
      <c r="G18" s="251"/>
      <c r="H18" s="252">
        <f>SUM(H11:H17)</f>
        <v>127549.38999999997</v>
      </c>
      <c r="I18" s="253">
        <f>SUM(I11:I17)</f>
        <v>72589</v>
      </c>
    </row>
    <row r="19" spans="2:11" ht="13.5">
      <c r="B19" s="240"/>
      <c r="C19" s="241"/>
      <c r="D19" s="242"/>
      <c r="E19" s="243"/>
      <c r="F19" s="240"/>
      <c r="G19" s="241"/>
      <c r="H19" s="242"/>
      <c r="I19" s="243"/>
    </row>
    <row r="20" spans="2:11" ht="13.5">
      <c r="B20" s="240"/>
      <c r="C20" s="241"/>
      <c r="D20" s="242"/>
      <c r="E20" s="243"/>
      <c r="F20" s="240"/>
      <c r="G20" s="241"/>
      <c r="H20" s="242"/>
      <c r="I20" s="243"/>
    </row>
    <row r="21" spans="2:11" ht="13.5">
      <c r="B21" s="245"/>
      <c r="C21" s="246"/>
      <c r="D21" s="242"/>
      <c r="E21" s="247"/>
      <c r="F21" s="254" t="s">
        <v>56</v>
      </c>
      <c r="G21" s="255"/>
      <c r="H21" s="242">
        <f>H22</f>
        <v>17758</v>
      </c>
      <c r="I21" s="248">
        <v>17758</v>
      </c>
    </row>
    <row r="22" spans="2:11" ht="13.5">
      <c r="B22" s="245"/>
      <c r="C22" s="246"/>
      <c r="D22" s="256"/>
      <c r="E22" s="247"/>
      <c r="F22" s="254" t="s">
        <v>196</v>
      </c>
      <c r="G22" s="255"/>
      <c r="H22" s="242">
        <f>-'FORMATO "B-C" AFOCAT'!G43</f>
        <v>17758</v>
      </c>
      <c r="I22" s="248">
        <v>17758</v>
      </c>
    </row>
    <row r="23" spans="2:11" ht="13.5">
      <c r="B23" s="245"/>
      <c r="C23" s="246"/>
      <c r="D23" s="257"/>
      <c r="E23" s="247"/>
      <c r="F23" s="254"/>
      <c r="G23" s="255"/>
      <c r="H23" s="242"/>
      <c r="I23" s="246"/>
    </row>
    <row r="24" spans="2:11" ht="13.5">
      <c r="B24" s="245"/>
      <c r="C24" s="246"/>
      <c r="D24" s="242"/>
      <c r="E24" s="247"/>
      <c r="F24" s="254"/>
      <c r="G24" s="255"/>
      <c r="H24" s="242"/>
      <c r="I24" s="246"/>
    </row>
    <row r="25" spans="2:11" ht="13.5">
      <c r="B25" s="245"/>
      <c r="C25" s="246"/>
      <c r="D25" s="242"/>
      <c r="E25" s="247"/>
      <c r="F25" s="254" t="s">
        <v>197</v>
      </c>
      <c r="G25" s="255"/>
      <c r="H25" s="242">
        <f>+H27+H28</f>
        <v>-121540.98999999999</v>
      </c>
      <c r="I25" s="242">
        <v>3847</v>
      </c>
    </row>
    <row r="26" spans="2:11" ht="13.5">
      <c r="B26" s="258"/>
      <c r="C26" s="259"/>
      <c r="D26" s="242"/>
      <c r="E26" s="260"/>
      <c r="F26" s="254" t="s">
        <v>198</v>
      </c>
      <c r="G26" s="255"/>
      <c r="H26" s="242">
        <f>+'FORMATO "B-C" AFOCAT'!G46</f>
        <v>0</v>
      </c>
      <c r="I26" s="242"/>
    </row>
    <row r="27" spans="2:11" ht="13.5">
      <c r="B27" s="258"/>
      <c r="C27" s="259"/>
      <c r="D27" s="242"/>
      <c r="E27" s="260"/>
      <c r="F27" s="254" t="s">
        <v>199</v>
      </c>
      <c r="G27" s="255"/>
      <c r="H27" s="242">
        <f>-'FORMATO "B-C" AFOCAT'!G45</f>
        <v>3847</v>
      </c>
      <c r="I27" s="242">
        <v>-3205</v>
      </c>
    </row>
    <row r="28" spans="2:11" ht="13.5">
      <c r="B28" s="240"/>
      <c r="C28" s="241"/>
      <c r="D28" s="242"/>
      <c r="E28" s="243"/>
      <c r="F28" s="254" t="s">
        <v>62</v>
      </c>
      <c r="G28" s="255"/>
      <c r="H28" s="242">
        <f>'FORMATO "B" AFOCAT'!C21</f>
        <v>-125387.98999999999</v>
      </c>
      <c r="I28" s="242">
        <v>7052</v>
      </c>
      <c r="K28" s="23"/>
    </row>
    <row r="29" spans="2:11" ht="14.25" thickBot="1">
      <c r="B29" s="245"/>
      <c r="C29" s="246"/>
      <c r="D29" s="242"/>
      <c r="E29" s="247"/>
      <c r="F29" s="250"/>
      <c r="G29" s="251"/>
      <c r="H29" s="261"/>
      <c r="I29" s="262"/>
      <c r="K29" s="23"/>
    </row>
    <row r="30" spans="2:11" ht="13.5">
      <c r="B30" s="245"/>
      <c r="C30" s="246"/>
      <c r="D30" s="242"/>
      <c r="E30" s="247"/>
      <c r="F30" s="250" t="s">
        <v>63</v>
      </c>
      <c r="G30" s="263"/>
      <c r="H30" s="256">
        <f>H21+H25</f>
        <v>-103782.98999999999</v>
      </c>
      <c r="I30" s="256">
        <f>I21+I25</f>
        <v>21605</v>
      </c>
    </row>
    <row r="31" spans="2:11" ht="14.25" thickBot="1">
      <c r="B31" s="240"/>
      <c r="C31" s="241"/>
      <c r="D31" s="261"/>
      <c r="E31" s="129"/>
      <c r="F31" s="240"/>
      <c r="G31" s="244"/>
      <c r="H31" s="261"/>
      <c r="I31" s="264"/>
    </row>
    <row r="32" spans="2:11" ht="14.25" thickBot="1">
      <c r="B32" s="250" t="s">
        <v>64</v>
      </c>
      <c r="C32" s="251"/>
      <c r="D32" s="265">
        <f>D10+D12+D16+D17</f>
        <v>23766.399999999951</v>
      </c>
      <c r="E32" s="265">
        <f>E10+E12+E16+E17</f>
        <v>94194</v>
      </c>
      <c r="F32" s="250" t="s">
        <v>65</v>
      </c>
      <c r="G32" s="263"/>
      <c r="H32" s="265">
        <f>+H18+H30</f>
        <v>23766.39999999998</v>
      </c>
      <c r="I32" s="265">
        <f>+I18+I30</f>
        <v>94194</v>
      </c>
    </row>
    <row r="33" spans="2:9" ht="14.25" thickTop="1">
      <c r="B33" s="240"/>
      <c r="C33" s="241"/>
      <c r="D33" s="242"/>
      <c r="E33" s="243"/>
      <c r="F33" s="240"/>
      <c r="G33" s="244"/>
      <c r="H33" s="266"/>
      <c r="I33" s="249"/>
    </row>
    <row r="34" spans="2:9" ht="13.5">
      <c r="B34" s="240" t="s">
        <v>200</v>
      </c>
      <c r="C34" s="241"/>
      <c r="D34" s="242">
        <f>+'FORMATO "B-C" AFOCAT'!G62</f>
        <v>150900</v>
      </c>
      <c r="E34" s="242">
        <v>138515</v>
      </c>
      <c r="F34" s="240" t="s">
        <v>201</v>
      </c>
      <c r="G34" s="244"/>
      <c r="H34" s="242">
        <f>+D34</f>
        <v>150900</v>
      </c>
      <c r="I34" s="242">
        <f>+E34</f>
        <v>138515</v>
      </c>
    </row>
    <row r="35" spans="2:9" ht="14.25" thickBot="1">
      <c r="B35" s="165"/>
      <c r="C35" s="267"/>
      <c r="D35" s="261"/>
      <c r="E35" s="268"/>
      <c r="F35" s="165"/>
      <c r="G35" s="166"/>
      <c r="H35" s="269"/>
      <c r="I35" s="270"/>
    </row>
    <row r="36" spans="2:9">
      <c r="B36" s="69"/>
      <c r="C36" s="167"/>
      <c r="D36" s="271"/>
      <c r="E36" s="167"/>
      <c r="F36" s="167"/>
      <c r="G36" s="70"/>
      <c r="H36" s="70"/>
      <c r="I36" s="70"/>
    </row>
    <row r="37" spans="2:9">
      <c r="B37" s="69"/>
      <c r="C37" s="272"/>
      <c r="D37" s="272"/>
      <c r="E37" s="272"/>
      <c r="F37" s="272"/>
      <c r="G37" s="273"/>
      <c r="H37" s="273"/>
      <c r="I37" s="273"/>
    </row>
  </sheetData>
  <mergeCells count="47">
    <mergeCell ref="B35:C35"/>
    <mergeCell ref="F35:G35"/>
    <mergeCell ref="C36:F36"/>
    <mergeCell ref="B32:C32"/>
    <mergeCell ref="F32:G32"/>
    <mergeCell ref="B33:C33"/>
    <mergeCell ref="F33:G33"/>
    <mergeCell ref="B34:C34"/>
    <mergeCell ref="F34:G34"/>
    <mergeCell ref="B28:C28"/>
    <mergeCell ref="F28:G28"/>
    <mergeCell ref="F29:G29"/>
    <mergeCell ref="F30:G30"/>
    <mergeCell ref="B31:C31"/>
    <mergeCell ref="F31:G31"/>
    <mergeCell ref="F23:G23"/>
    <mergeCell ref="F24:G24"/>
    <mergeCell ref="F25:G25"/>
    <mergeCell ref="E26:E27"/>
    <mergeCell ref="F26:G26"/>
    <mergeCell ref="F27:G27"/>
    <mergeCell ref="B19:C19"/>
    <mergeCell ref="F19:G19"/>
    <mergeCell ref="B20:C20"/>
    <mergeCell ref="F20:G20"/>
    <mergeCell ref="F21:G21"/>
    <mergeCell ref="F22:G22"/>
    <mergeCell ref="F15:G15"/>
    <mergeCell ref="B16:C16"/>
    <mergeCell ref="F16:G16"/>
    <mergeCell ref="B17:C17"/>
    <mergeCell ref="F17:G17"/>
    <mergeCell ref="B18:C18"/>
    <mergeCell ref="F18:G18"/>
    <mergeCell ref="B11:C11"/>
    <mergeCell ref="F11:G11"/>
    <mergeCell ref="B12:C12"/>
    <mergeCell ref="F12:G12"/>
    <mergeCell ref="F13:G13"/>
    <mergeCell ref="F14:G14"/>
    <mergeCell ref="B2:I2"/>
    <mergeCell ref="B4:I4"/>
    <mergeCell ref="B5:I5"/>
    <mergeCell ref="B8:C9"/>
    <mergeCell ref="F8:G9"/>
    <mergeCell ref="B10:C10"/>
    <mergeCell ref="F10:G10"/>
  </mergeCells>
  <pageMargins left="0.59055118110236227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E26"/>
  <sheetViews>
    <sheetView zoomScale="96" zoomScaleNormal="96" workbookViewId="0">
      <selection activeCell="B3" sqref="B3:G3"/>
    </sheetView>
  </sheetViews>
  <sheetFormatPr baseColWidth="10" defaultRowHeight="12.75"/>
  <cols>
    <col min="1" max="1" width="6.7109375" customWidth="1"/>
    <col min="2" max="2" width="36.7109375" customWidth="1"/>
    <col min="3" max="4" width="17.7109375" customWidth="1"/>
  </cols>
  <sheetData>
    <row r="2" spans="2:5">
      <c r="D2" s="41" t="s">
        <v>202</v>
      </c>
    </row>
    <row r="4" spans="2:5" ht="13.5" customHeight="1"/>
    <row r="5" spans="2:5" ht="13.5" customHeight="1">
      <c r="B5" s="135" t="s">
        <v>187</v>
      </c>
      <c r="C5" s="135"/>
      <c r="D5" s="135"/>
      <c r="E5" s="135"/>
    </row>
    <row r="6" spans="2:5" ht="13.5" customHeight="1">
      <c r="B6" s="142" t="s">
        <v>203</v>
      </c>
      <c r="C6" s="142"/>
      <c r="D6" s="142"/>
    </row>
    <row r="7" spans="2:5" ht="13.5" customHeight="1">
      <c r="B7" s="130"/>
      <c r="C7" s="130"/>
      <c r="D7" s="130"/>
    </row>
    <row r="8" spans="2:5" ht="13.5" customHeight="1">
      <c r="B8" s="130"/>
      <c r="C8" s="130"/>
      <c r="D8" s="130"/>
    </row>
    <row r="9" spans="2:5" ht="13.5" customHeight="1" thickBot="1"/>
    <row r="10" spans="2:5" ht="13.5" customHeight="1">
      <c r="B10" s="72" t="s">
        <v>3</v>
      </c>
      <c r="C10" s="73" t="s">
        <v>48</v>
      </c>
      <c r="D10" s="73" t="s">
        <v>67</v>
      </c>
    </row>
    <row r="11" spans="2:5" ht="13.5" customHeight="1" thickBot="1">
      <c r="B11" s="74"/>
      <c r="C11" s="133" t="s">
        <v>7</v>
      </c>
      <c r="D11" s="133" t="s">
        <v>7</v>
      </c>
    </row>
    <row r="12" spans="2:5" ht="13.5" customHeight="1">
      <c r="B12" s="274"/>
      <c r="C12" s="79"/>
      <c r="D12" s="243"/>
    </row>
    <row r="13" spans="2:5" ht="13.5" customHeight="1">
      <c r="B13" s="275" t="s">
        <v>204</v>
      </c>
      <c r="C13" s="242">
        <f>-'FORMATO "B-C" AFOCAT'!G57</f>
        <v>721192.79999999993</v>
      </c>
      <c r="D13" s="242">
        <v>1108469</v>
      </c>
    </row>
    <row r="14" spans="2:5" ht="13.5" customHeight="1">
      <c r="B14" s="275"/>
      <c r="C14" s="276"/>
      <c r="D14" s="243"/>
    </row>
    <row r="15" spans="2:5" ht="13.5" customHeight="1">
      <c r="B15" s="275" t="s">
        <v>205</v>
      </c>
      <c r="C15" s="242">
        <f>(-'FORMATO "B-C" AFOCAT'!G58)-('FORMATO "B-C" AFOCAT'!G48)</f>
        <v>-846580.78999999992</v>
      </c>
      <c r="D15" s="242">
        <v>-1101417</v>
      </c>
    </row>
    <row r="16" spans="2:5" ht="13.5" customHeight="1">
      <c r="B16" s="274"/>
      <c r="C16" s="242"/>
      <c r="D16" s="243"/>
    </row>
    <row r="17" spans="2:4" ht="13.5" customHeight="1">
      <c r="B17" s="274" t="s">
        <v>206</v>
      </c>
      <c r="C17" s="256">
        <f>C13+C15</f>
        <v>-125387.98999999999</v>
      </c>
      <c r="D17" s="256">
        <f>D13+D15</f>
        <v>7052</v>
      </c>
    </row>
    <row r="18" spans="2:4" ht="13.5" customHeight="1">
      <c r="B18" s="275"/>
      <c r="C18" s="242"/>
      <c r="D18" s="243"/>
    </row>
    <row r="19" spans="2:4" ht="13.5" customHeight="1">
      <c r="B19" s="275"/>
      <c r="C19" s="242"/>
      <c r="D19" s="243"/>
    </row>
    <row r="20" spans="2:4" ht="13.5" customHeight="1" thickBot="1">
      <c r="B20" s="275"/>
      <c r="C20" s="261"/>
      <c r="D20" s="243"/>
    </row>
    <row r="21" spans="2:4" ht="13.5" customHeight="1" thickBot="1">
      <c r="B21" s="274" t="s">
        <v>207</v>
      </c>
      <c r="C21" s="265">
        <f>C17</f>
        <v>-125387.98999999999</v>
      </c>
      <c r="D21" s="277">
        <f>D17</f>
        <v>7052</v>
      </c>
    </row>
    <row r="22" spans="2:4" ht="13.5" customHeight="1" thickTop="1">
      <c r="B22" s="275"/>
      <c r="C22" s="242"/>
      <c r="D22" s="243"/>
    </row>
    <row r="23" spans="2:4" ht="13.5" customHeight="1" thickBot="1">
      <c r="B23" s="264"/>
      <c r="C23" s="261"/>
      <c r="D23" s="268"/>
    </row>
    <row r="24" spans="2:4" ht="13.5" customHeight="1"/>
    <row r="25" spans="2:4" ht="13.5" customHeight="1"/>
    <row r="26" spans="2:4" ht="13.5" customHeight="1"/>
  </sheetData>
  <mergeCells count="2">
    <mergeCell ref="B5:E5"/>
    <mergeCell ref="B6:D6"/>
  </mergeCells>
  <pageMargins left="0.78740157480314965" right="0" top="0.78740157480314965" bottom="0" header="0.31496062992125984" footer="0.31496062992125984"/>
  <pageSetup paperSize="9" orientation="portrait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1"/>
  <sheetViews>
    <sheetView topLeftCell="B1" zoomScale="112" zoomScaleNormal="112" workbookViewId="0">
      <selection activeCell="B3" sqref="B3:G3"/>
    </sheetView>
  </sheetViews>
  <sheetFormatPr baseColWidth="10" defaultRowHeight="12.75"/>
  <cols>
    <col min="1" max="1" width="1.7109375" customWidth="1"/>
    <col min="2" max="2" width="5.7109375" customWidth="1"/>
    <col min="3" max="3" width="39.7109375" customWidth="1"/>
    <col min="4" max="4" width="13.7109375" customWidth="1"/>
    <col min="5" max="6" width="13.85546875" customWidth="1"/>
    <col min="7" max="7" width="13.7109375" customWidth="1"/>
    <col min="8" max="8" width="14.85546875" bestFit="1" customWidth="1"/>
    <col min="9" max="9" width="15.85546875" bestFit="1" customWidth="1"/>
  </cols>
  <sheetData>
    <row r="1" spans="2:9" ht="16.5">
      <c r="B1" s="134" t="s">
        <v>0</v>
      </c>
      <c r="C1" s="134"/>
      <c r="D1" s="134"/>
      <c r="E1" s="134"/>
      <c r="F1" s="134"/>
      <c r="G1" s="134"/>
    </row>
    <row r="2" spans="2:9" ht="16.5">
      <c r="B2" s="1"/>
      <c r="C2" s="1"/>
      <c r="D2" s="1"/>
      <c r="E2" s="1"/>
      <c r="F2" s="1"/>
      <c r="G2" s="1"/>
    </row>
    <row r="3" spans="2:9" ht="13.5" customHeight="1">
      <c r="B3" s="135" t="s">
        <v>1</v>
      </c>
      <c r="C3" s="135"/>
      <c r="D3" s="135"/>
      <c r="E3" s="135"/>
      <c r="F3" s="135"/>
      <c r="G3" s="135"/>
    </row>
    <row r="4" spans="2:9" ht="18" customHeight="1">
      <c r="B4" s="135" t="s">
        <v>2</v>
      </c>
      <c r="C4" s="135"/>
      <c r="D4" s="135"/>
      <c r="E4" s="135"/>
      <c r="F4" s="135"/>
      <c r="G4" s="135"/>
    </row>
    <row r="5" spans="2:9" ht="18" customHeight="1">
      <c r="B5" s="135" t="s">
        <v>107</v>
      </c>
      <c r="C5" s="135"/>
      <c r="D5" s="135"/>
      <c r="E5" s="135"/>
      <c r="F5" s="135"/>
      <c r="G5" s="135"/>
    </row>
    <row r="6" spans="2:9" ht="17.25" thickBot="1">
      <c r="B6" s="2"/>
      <c r="H6" s="105"/>
    </row>
    <row r="7" spans="2:9" ht="14.25" customHeight="1" thickBot="1">
      <c r="B7" s="136"/>
      <c r="C7" s="138" t="s">
        <v>3</v>
      </c>
      <c r="D7" s="3" t="s">
        <v>4</v>
      </c>
      <c r="E7" s="140" t="s">
        <v>5</v>
      </c>
      <c r="F7" s="141"/>
      <c r="G7" s="3" t="s">
        <v>6</v>
      </c>
      <c r="H7" s="106"/>
    </row>
    <row r="8" spans="2:9" ht="27.75" customHeight="1" thickBot="1">
      <c r="B8" s="137"/>
      <c r="C8" s="139"/>
      <c r="D8" s="4" t="s">
        <v>7</v>
      </c>
      <c r="E8" s="5" t="s">
        <v>8</v>
      </c>
      <c r="F8" s="5" t="s">
        <v>9</v>
      </c>
      <c r="G8" s="4" t="s">
        <v>7</v>
      </c>
    </row>
    <row r="9" spans="2:9" ht="13.5" customHeight="1">
      <c r="B9" s="6">
        <v>1</v>
      </c>
      <c r="C9" s="7" t="s">
        <v>10</v>
      </c>
      <c r="D9" s="8"/>
      <c r="E9" s="8"/>
      <c r="F9" s="8"/>
      <c r="G9" s="9"/>
    </row>
    <row r="10" spans="2:9" ht="13.5" customHeight="1">
      <c r="B10" s="10">
        <v>10</v>
      </c>
      <c r="C10" s="11" t="s">
        <v>11</v>
      </c>
      <c r="D10" s="12">
        <f>SUM(D11:D13)</f>
        <v>306755.04000000004</v>
      </c>
      <c r="E10" s="12">
        <f>E13+E11+E12</f>
        <v>210678.95</v>
      </c>
      <c r="F10" s="12">
        <f>F13+F11+F12</f>
        <v>372228.89</v>
      </c>
      <c r="G10" s="13">
        <f t="shared" ref="G10:G43" si="0">D10+E10-F10</f>
        <v>145205.10000000003</v>
      </c>
    </row>
    <row r="11" spans="2:9" ht="13.5" customHeight="1">
      <c r="B11" s="14">
        <v>1001</v>
      </c>
      <c r="C11" s="15" t="s">
        <v>12</v>
      </c>
      <c r="D11" s="16">
        <v>85000</v>
      </c>
      <c r="E11" s="16">
        <v>222</v>
      </c>
      <c r="F11" s="16">
        <v>85000</v>
      </c>
      <c r="G11" s="17">
        <f t="shared" si="0"/>
        <v>222</v>
      </c>
    </row>
    <row r="12" spans="2:9" ht="13.5" customHeight="1">
      <c r="B12" s="14">
        <v>1002</v>
      </c>
      <c r="C12" s="15" t="s">
        <v>13</v>
      </c>
      <c r="D12" s="16">
        <v>0</v>
      </c>
      <c r="E12" s="16"/>
      <c r="F12" s="16"/>
      <c r="G12" s="17">
        <f t="shared" si="0"/>
        <v>0</v>
      </c>
    </row>
    <row r="13" spans="2:9" ht="13.5" customHeight="1">
      <c r="B13" s="14">
        <v>1004</v>
      </c>
      <c r="C13" s="15" t="s">
        <v>14</v>
      </c>
      <c r="D13" s="16">
        <v>221755.04</v>
      </c>
      <c r="E13" s="16">
        <f>(210615.2-222)+63.75</f>
        <v>210456.95</v>
      </c>
      <c r="F13" s="16">
        <f>284757.74+2403+68.15</f>
        <v>287228.89</v>
      </c>
      <c r="G13" s="17">
        <f t="shared" si="0"/>
        <v>144983.09999999998</v>
      </c>
    </row>
    <row r="14" spans="2:9" ht="13.5" customHeight="1">
      <c r="B14" s="10">
        <v>15</v>
      </c>
      <c r="C14" s="11" t="s">
        <v>15</v>
      </c>
      <c r="D14" s="12">
        <f>+D15</f>
        <v>3327156.84</v>
      </c>
      <c r="E14" s="12">
        <f>E15</f>
        <v>97919.43</v>
      </c>
      <c r="F14" s="12">
        <f>F15</f>
        <v>2896.64</v>
      </c>
      <c r="G14" s="13">
        <f t="shared" si="0"/>
        <v>3422179.63</v>
      </c>
    </row>
    <row r="15" spans="2:9" ht="13.5" customHeight="1">
      <c r="B15" s="14">
        <v>1501</v>
      </c>
      <c r="C15" s="15" t="s">
        <v>16</v>
      </c>
      <c r="D15" s="16">
        <v>3327156.84</v>
      </c>
      <c r="E15" s="16">
        <f>85000+10669.37+1492.67+757.39</f>
        <v>97919.43</v>
      </c>
      <c r="F15" s="16">
        <v>2896.64</v>
      </c>
      <c r="G15" s="17">
        <f t="shared" si="0"/>
        <v>3422179.63</v>
      </c>
      <c r="I15" s="20"/>
    </row>
    <row r="16" spans="2:9" ht="13.5" customHeight="1">
      <c r="B16" s="10">
        <v>2</v>
      </c>
      <c r="C16" s="11" t="s">
        <v>17</v>
      </c>
      <c r="D16" s="16"/>
      <c r="E16" s="16"/>
      <c r="F16" s="16"/>
      <c r="G16" s="17">
        <f t="shared" si="0"/>
        <v>0</v>
      </c>
    </row>
    <row r="17" spans="2:9" ht="13.5" customHeight="1">
      <c r="B17" s="18">
        <v>26</v>
      </c>
      <c r="C17" s="19" t="s">
        <v>18</v>
      </c>
      <c r="D17" s="12">
        <f>+D18</f>
        <v>-131584.82999999999</v>
      </c>
      <c r="E17" s="12">
        <f>E18</f>
        <v>284757.74</v>
      </c>
      <c r="F17" s="12">
        <f>F18</f>
        <v>266434.92</v>
      </c>
      <c r="G17" s="13">
        <f t="shared" si="0"/>
        <v>-113262.00999999998</v>
      </c>
    </row>
    <row r="18" spans="2:9" ht="13.5" customHeight="1">
      <c r="B18" s="14">
        <v>2601</v>
      </c>
      <c r="C18" s="15" t="s">
        <v>19</v>
      </c>
      <c r="D18" s="16">
        <v>-131584.82999999999</v>
      </c>
      <c r="E18" s="16">
        <v>284757.74</v>
      </c>
      <c r="F18" s="16">
        <f>+E31</f>
        <v>266434.92</v>
      </c>
      <c r="G18" s="17">
        <f>D18+E18-F18</f>
        <v>-113262.00999999998</v>
      </c>
      <c r="H18" s="20"/>
    </row>
    <row r="19" spans="2:9" ht="13.5" customHeight="1">
      <c r="B19" s="18">
        <v>27</v>
      </c>
      <c r="C19" s="19" t="s">
        <v>20</v>
      </c>
      <c r="D19" s="12">
        <f>+D20</f>
        <v>-2403</v>
      </c>
      <c r="E19" s="12">
        <f>E20</f>
        <v>2403</v>
      </c>
      <c r="F19" s="12">
        <f>F20</f>
        <v>2633</v>
      </c>
      <c r="G19" s="13">
        <f t="shared" si="0"/>
        <v>-2633</v>
      </c>
      <c r="H19" s="20"/>
    </row>
    <row r="20" spans="2:9" ht="13.5" customHeight="1">
      <c r="B20" s="14">
        <v>2701</v>
      </c>
      <c r="C20" s="15" t="s">
        <v>21</v>
      </c>
      <c r="D20" s="16">
        <v>-2403</v>
      </c>
      <c r="E20" s="16">
        <v>2403</v>
      </c>
      <c r="F20" s="16">
        <v>2633</v>
      </c>
      <c r="G20" s="17">
        <f t="shared" si="0"/>
        <v>-2633</v>
      </c>
      <c r="H20" s="20"/>
    </row>
    <row r="21" spans="2:9" ht="13.5" customHeight="1">
      <c r="B21" s="10">
        <v>3</v>
      </c>
      <c r="C21" s="11" t="s">
        <v>22</v>
      </c>
      <c r="D21" s="16"/>
      <c r="E21" s="16"/>
      <c r="F21" s="16"/>
      <c r="G21" s="17">
        <f t="shared" si="0"/>
        <v>0</v>
      </c>
      <c r="H21" s="20" t="s">
        <v>23</v>
      </c>
    </row>
    <row r="22" spans="2:9" ht="13.5" customHeight="1">
      <c r="B22" s="10">
        <v>37</v>
      </c>
      <c r="C22" s="11" t="s">
        <v>24</v>
      </c>
      <c r="D22" s="12">
        <f>SUM(D23:D25)</f>
        <v>-597258</v>
      </c>
      <c r="E22" s="12"/>
      <c r="F22" s="12">
        <f>F24</f>
        <v>0</v>
      </c>
      <c r="G22" s="13">
        <f>D22+E22-F22</f>
        <v>-597258</v>
      </c>
    </row>
    <row r="23" spans="2:9" ht="13.5" customHeight="1">
      <c r="B23" s="14">
        <v>3701</v>
      </c>
      <c r="C23" s="15" t="s">
        <v>25</v>
      </c>
      <c r="D23" s="16"/>
      <c r="E23" s="16"/>
      <c r="F23" s="16"/>
      <c r="G23" s="17">
        <f t="shared" si="0"/>
        <v>0</v>
      </c>
      <c r="H23" s="20"/>
    </row>
    <row r="24" spans="2:9" ht="13.5" customHeight="1">
      <c r="B24" s="14">
        <v>3702</v>
      </c>
      <c r="C24" s="21" t="s">
        <v>26</v>
      </c>
      <c r="D24" s="16">
        <v>-597258</v>
      </c>
      <c r="E24" s="16"/>
      <c r="F24" s="16">
        <v>0</v>
      </c>
      <c r="G24" s="17">
        <f t="shared" si="0"/>
        <v>-597258</v>
      </c>
      <c r="H24" s="20"/>
    </row>
    <row r="25" spans="2:9" ht="13.5" customHeight="1">
      <c r="B25" s="14">
        <v>3703</v>
      </c>
      <c r="C25" s="15" t="s">
        <v>27</v>
      </c>
      <c r="D25" s="16"/>
      <c r="E25" s="16"/>
      <c r="F25" s="16"/>
      <c r="G25" s="17">
        <f t="shared" si="0"/>
        <v>0</v>
      </c>
    </row>
    <row r="26" spans="2:9" ht="13.5" customHeight="1">
      <c r="B26" s="10">
        <v>38</v>
      </c>
      <c r="C26" s="11" t="s">
        <v>28</v>
      </c>
      <c r="D26" s="12">
        <f>SUM(D27:D28)</f>
        <v>-2099380</v>
      </c>
      <c r="E26" s="12"/>
      <c r="F26" s="12"/>
      <c r="G26" s="13">
        <f>D26+E26-F26</f>
        <v>-2099380</v>
      </c>
    </row>
    <row r="27" spans="2:9" ht="13.5" customHeight="1">
      <c r="B27" s="22">
        <v>3801</v>
      </c>
      <c r="C27" s="21" t="s">
        <v>29</v>
      </c>
      <c r="D27" s="16">
        <v>-2099380</v>
      </c>
      <c r="E27" s="16"/>
      <c r="F27" s="16">
        <v>0</v>
      </c>
      <c r="G27" s="17">
        <f t="shared" si="0"/>
        <v>-2099380</v>
      </c>
    </row>
    <row r="28" spans="2:9" ht="13.5" customHeight="1">
      <c r="B28" s="14">
        <v>3803</v>
      </c>
      <c r="C28" s="15" t="s">
        <v>30</v>
      </c>
      <c r="D28" s="16"/>
      <c r="E28" s="16"/>
      <c r="F28" s="16"/>
      <c r="G28" s="17">
        <f t="shared" si="0"/>
        <v>0</v>
      </c>
    </row>
    <row r="29" spans="2:9" ht="13.5" customHeight="1">
      <c r="B29" s="10">
        <v>4</v>
      </c>
      <c r="C29" s="11" t="s">
        <v>31</v>
      </c>
      <c r="D29" s="16"/>
      <c r="E29" s="16"/>
      <c r="F29" s="16"/>
      <c r="G29" s="17">
        <f t="shared" si="0"/>
        <v>0</v>
      </c>
      <c r="H29" s="23"/>
    </row>
    <row r="30" spans="2:9" ht="13.5" customHeight="1">
      <c r="B30" s="10">
        <v>42</v>
      </c>
      <c r="C30" s="11" t="s">
        <v>32</v>
      </c>
      <c r="D30" s="12">
        <f>+D31</f>
        <v>1906654.93</v>
      </c>
      <c r="E30" s="12">
        <f>E31</f>
        <v>266434.92</v>
      </c>
      <c r="F30" s="12">
        <f>F31</f>
        <v>0</v>
      </c>
      <c r="G30" s="13">
        <f t="shared" si="0"/>
        <v>2173089.85</v>
      </c>
      <c r="H30" s="23"/>
      <c r="I30" s="23"/>
    </row>
    <row r="31" spans="2:9" ht="13.5" customHeight="1">
      <c r="B31" s="14">
        <v>4201</v>
      </c>
      <c r="C31" s="15" t="s">
        <v>33</v>
      </c>
      <c r="D31" s="16">
        <v>1906654.93</v>
      </c>
      <c r="E31" s="16">
        <f>284757.74-131584.83+113262.01</f>
        <v>266434.92</v>
      </c>
      <c r="F31" s="16">
        <v>0</v>
      </c>
      <c r="G31" s="17">
        <f t="shared" si="0"/>
        <v>2173089.85</v>
      </c>
    </row>
    <row r="32" spans="2:9" ht="13.5" customHeight="1">
      <c r="B32" s="10">
        <v>47</v>
      </c>
      <c r="C32" s="11" t="s">
        <v>34</v>
      </c>
      <c r="D32" s="12">
        <f>SUM(D33:D34)</f>
        <v>84475.34</v>
      </c>
      <c r="E32" s="12">
        <f>E33+E34</f>
        <v>5597.79</v>
      </c>
      <c r="F32" s="12">
        <f>F33+F34</f>
        <v>0</v>
      </c>
      <c r="G32" s="13">
        <f t="shared" si="0"/>
        <v>90073.12999999999</v>
      </c>
    </row>
    <row r="33" spans="1:8" ht="13.5" customHeight="1">
      <c r="B33" s="14">
        <v>4701</v>
      </c>
      <c r="C33" s="15" t="s">
        <v>35</v>
      </c>
      <c r="D33" s="16">
        <v>33455.699999999997</v>
      </c>
      <c r="E33" s="16">
        <f>+F20</f>
        <v>2633</v>
      </c>
      <c r="F33" s="16">
        <v>0</v>
      </c>
      <c r="G33" s="17">
        <f t="shared" si="0"/>
        <v>36088.699999999997</v>
      </c>
    </row>
    <row r="34" spans="1:8" ht="13.5" customHeight="1">
      <c r="B34" s="14">
        <v>4704</v>
      </c>
      <c r="C34" s="15" t="s">
        <v>36</v>
      </c>
      <c r="D34" s="16">
        <v>51019.64</v>
      </c>
      <c r="E34" s="16">
        <f>2896.64+68.15</f>
        <v>2964.79</v>
      </c>
      <c r="F34" s="16">
        <v>0</v>
      </c>
      <c r="G34" s="17">
        <f t="shared" si="0"/>
        <v>53984.43</v>
      </c>
    </row>
    <row r="35" spans="1:8" ht="13.5" customHeight="1">
      <c r="B35" s="10">
        <v>5</v>
      </c>
      <c r="C35" s="11" t="s">
        <v>37</v>
      </c>
      <c r="D35" s="16"/>
      <c r="E35" s="16"/>
      <c r="F35" s="16"/>
      <c r="G35" s="17">
        <f>D35+E35-F35</f>
        <v>0</v>
      </c>
    </row>
    <row r="36" spans="1:8" ht="13.5" customHeight="1">
      <c r="B36" s="10">
        <v>50</v>
      </c>
      <c r="C36" s="11" t="s">
        <v>38</v>
      </c>
      <c r="D36" s="12">
        <f>SUM(D37:D38)</f>
        <v>-2675933.2000000002</v>
      </c>
      <c r="E36" s="12"/>
      <c r="F36" s="12">
        <f>+F37+F38</f>
        <v>210615.2</v>
      </c>
      <c r="G36" s="13">
        <f>D36+E36-F36</f>
        <v>-2886548.4000000004</v>
      </c>
    </row>
    <row r="37" spans="1:8" ht="13.5" customHeight="1">
      <c r="B37" s="14">
        <v>5005</v>
      </c>
      <c r="C37" s="15" t="s">
        <v>39</v>
      </c>
      <c r="D37" s="16">
        <v>-2674156</v>
      </c>
      <c r="E37" s="16"/>
      <c r="F37" s="16">
        <v>210615.2</v>
      </c>
      <c r="G37" s="17">
        <f t="shared" si="0"/>
        <v>-2884771.2</v>
      </c>
      <c r="H37" s="20"/>
    </row>
    <row r="38" spans="1:8" ht="13.5" customHeight="1">
      <c r="B38" s="14">
        <v>5006</v>
      </c>
      <c r="C38" s="15" t="s">
        <v>40</v>
      </c>
      <c r="D38" s="16">
        <v>-1777.2</v>
      </c>
      <c r="E38" s="16"/>
      <c r="F38" s="16"/>
      <c r="G38" s="17">
        <f t="shared" si="0"/>
        <v>-1777.2</v>
      </c>
      <c r="H38" s="24"/>
    </row>
    <row r="39" spans="1:8" ht="13.5" customHeight="1">
      <c r="B39" s="10">
        <v>57</v>
      </c>
      <c r="C39" s="11" t="s">
        <v>41</v>
      </c>
      <c r="D39" s="12">
        <f>+D40</f>
        <v>-118483.12</v>
      </c>
      <c r="E39" s="16"/>
      <c r="F39" s="12">
        <f>F40</f>
        <v>12983.18</v>
      </c>
      <c r="G39" s="17">
        <f t="shared" si="0"/>
        <v>-131466.29999999999</v>
      </c>
    </row>
    <row r="40" spans="1:8" ht="13.5" customHeight="1">
      <c r="B40" s="14">
        <v>5705</v>
      </c>
      <c r="C40" s="15" t="s">
        <v>42</v>
      </c>
      <c r="D40" s="16">
        <v>-118483.12</v>
      </c>
      <c r="E40" s="16"/>
      <c r="F40" s="16">
        <f>10669.37+1492.67+757.39+63.75</f>
        <v>12983.18</v>
      </c>
      <c r="G40" s="17">
        <f t="shared" si="0"/>
        <v>-131466.29999999999</v>
      </c>
    </row>
    <row r="41" spans="1:8" ht="13.5" customHeight="1">
      <c r="B41" s="10">
        <v>6</v>
      </c>
      <c r="C41" s="11" t="s">
        <v>43</v>
      </c>
      <c r="D41" s="16"/>
      <c r="E41" s="16"/>
      <c r="F41" s="16"/>
      <c r="G41" s="17"/>
    </row>
    <row r="42" spans="1:8" ht="13.5" customHeight="1">
      <c r="B42" s="10">
        <v>60</v>
      </c>
      <c r="C42" s="11" t="s">
        <v>44</v>
      </c>
      <c r="D42" s="25"/>
      <c r="E42" s="25"/>
      <c r="F42" s="25"/>
      <c r="G42" s="17">
        <f t="shared" si="0"/>
        <v>0</v>
      </c>
    </row>
    <row r="43" spans="1:8" ht="13.5" customHeight="1" thickBot="1">
      <c r="B43" s="26">
        <v>6001</v>
      </c>
      <c r="C43" s="27" t="s">
        <v>45</v>
      </c>
      <c r="D43" s="28"/>
      <c r="E43" s="28"/>
      <c r="F43" s="28"/>
      <c r="G43" s="122">
        <f t="shared" si="0"/>
        <v>0</v>
      </c>
    </row>
    <row r="44" spans="1:8" s="24" customFormat="1" ht="13.5" customHeight="1" thickBot="1">
      <c r="A44"/>
      <c r="B44" s="29">
        <v>68</v>
      </c>
      <c r="C44" s="30" t="s">
        <v>30</v>
      </c>
      <c r="D44" s="31"/>
      <c r="E44" s="31"/>
      <c r="F44" s="31"/>
      <c r="G44" s="31"/>
    </row>
    <row r="45" spans="1:8" ht="13.5" customHeight="1" thickTop="1" thickBot="1">
      <c r="B45" s="32">
        <v>6801</v>
      </c>
      <c r="C45" s="33" t="s">
        <v>46</v>
      </c>
      <c r="D45" s="34"/>
      <c r="E45" s="34"/>
      <c r="F45" s="34"/>
      <c r="G45" s="34"/>
    </row>
    <row r="46" spans="1:8" ht="13.5" customHeight="1">
      <c r="B46" s="35"/>
      <c r="C46" s="36"/>
      <c r="D46" s="37"/>
      <c r="E46" s="91">
        <f>SUM(E9:E45)</f>
        <v>1735583.66</v>
      </c>
      <c r="F46" s="91">
        <f>SUM(F9:F45)</f>
        <v>1735583.6599999997</v>
      </c>
      <c r="G46" s="37"/>
    </row>
    <row r="47" spans="1:8" ht="13.5" customHeight="1">
      <c r="B47" s="35"/>
      <c r="C47" s="36"/>
      <c r="D47" s="37"/>
      <c r="E47" s="37"/>
      <c r="F47" s="113">
        <f>+E46-F46</f>
        <v>0</v>
      </c>
      <c r="G47" s="37"/>
    </row>
    <row r="48" spans="1:8" ht="13.5">
      <c r="B48" s="35"/>
      <c r="C48" s="36"/>
      <c r="D48" s="37"/>
      <c r="E48" s="37"/>
      <c r="F48" s="37"/>
      <c r="G48" s="37"/>
    </row>
    <row r="51" spans="6:6">
      <c r="F51" s="108"/>
    </row>
  </sheetData>
  <mergeCells count="7">
    <mergeCell ref="B1:G1"/>
    <mergeCell ref="B3:G3"/>
    <mergeCell ref="B4:G4"/>
    <mergeCell ref="B5:G5"/>
    <mergeCell ref="B7:B8"/>
    <mergeCell ref="C7:C8"/>
    <mergeCell ref="E7:F7"/>
  </mergeCells>
  <pageMargins left="0" right="0" top="0" bottom="0" header="0" footer="0"/>
  <pageSetup paperSize="9" orientation="portrait" horizontalDpi="360" verticalDpi="360" r:id="rId1"/>
  <colBreaks count="1" manualBreakCount="1">
    <brk id="7" max="1048575" man="1"/>
  </colBreaks>
  <ignoredErrors>
    <ignoredError sqref="F18" formula="1"/>
    <ignoredError sqref="D22 D3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9"/>
  <sheetViews>
    <sheetView topLeftCell="A7" zoomScale="106" zoomScaleNormal="106" workbookViewId="0">
      <selection activeCell="B3" sqref="B3:G3"/>
    </sheetView>
  </sheetViews>
  <sheetFormatPr baseColWidth="10" defaultRowHeight="12.75"/>
  <cols>
    <col min="1" max="1" width="5.85546875" customWidth="1"/>
    <col min="2" max="2" width="27.42578125" customWidth="1"/>
    <col min="3" max="3" width="2.5703125" customWidth="1"/>
    <col min="4" max="5" width="14.5703125" customWidth="1"/>
    <col min="7" max="7" width="18.5703125" customWidth="1"/>
    <col min="8" max="8" width="16.7109375" customWidth="1"/>
    <col min="9" max="9" width="15.85546875" customWidth="1"/>
    <col min="11" max="11" width="15.140625" bestFit="1" customWidth="1"/>
  </cols>
  <sheetData>
    <row r="1" spans="1:10" ht="12.75" customHeight="1"/>
    <row r="2" spans="1:10" ht="12.75" customHeight="1">
      <c r="B2" s="40"/>
      <c r="H2" s="41" t="s">
        <v>47</v>
      </c>
    </row>
    <row r="3" spans="1:10" s="43" customFormat="1" ht="18" customHeight="1">
      <c r="A3"/>
      <c r="B3" s="42"/>
      <c r="C3"/>
      <c r="D3"/>
      <c r="E3"/>
      <c r="F3"/>
      <c r="G3"/>
      <c r="H3"/>
      <c r="I3"/>
      <c r="J3"/>
    </row>
    <row r="4" spans="1:10" s="43" customFormat="1" ht="18" customHeight="1">
      <c r="A4"/>
      <c r="B4" s="142" t="s">
        <v>1</v>
      </c>
      <c r="C4" s="142"/>
      <c r="D4" s="142"/>
      <c r="E4" s="142"/>
      <c r="F4" s="142"/>
      <c r="G4" s="142"/>
      <c r="H4" s="142"/>
      <c r="I4" s="142"/>
      <c r="J4"/>
    </row>
    <row r="5" spans="1:10" ht="13.5" customHeight="1">
      <c r="B5" s="142" t="s">
        <v>108</v>
      </c>
      <c r="C5" s="142"/>
      <c r="D5" s="142"/>
      <c r="E5" s="142"/>
      <c r="F5" s="142"/>
      <c r="G5" s="142"/>
      <c r="H5" s="142"/>
      <c r="I5" s="142"/>
    </row>
    <row r="6" spans="1:10" ht="13.5" customHeight="1" thickBot="1">
      <c r="B6" s="42"/>
    </row>
    <row r="7" spans="1:10" ht="13.5" customHeight="1">
      <c r="B7" s="143" t="s">
        <v>10</v>
      </c>
      <c r="C7" s="144"/>
      <c r="D7" s="44" t="s">
        <v>48</v>
      </c>
      <c r="E7" s="45" t="s">
        <v>49</v>
      </c>
      <c r="F7" s="143" t="s">
        <v>50</v>
      </c>
      <c r="G7" s="144"/>
      <c r="H7" s="46" t="s">
        <v>48</v>
      </c>
      <c r="I7" s="44" t="s">
        <v>49</v>
      </c>
    </row>
    <row r="8" spans="1:10" ht="17.25" customHeight="1" thickBot="1">
      <c r="B8" s="145"/>
      <c r="C8" s="146"/>
      <c r="D8" s="47" t="s">
        <v>7</v>
      </c>
      <c r="E8" s="48" t="s">
        <v>7</v>
      </c>
      <c r="F8" s="145"/>
      <c r="G8" s="146"/>
      <c r="H8" s="47" t="s">
        <v>7</v>
      </c>
      <c r="I8" s="48" t="s">
        <v>7</v>
      </c>
    </row>
    <row r="9" spans="1:10" ht="17.25" customHeight="1">
      <c r="B9" s="147" t="s">
        <v>51</v>
      </c>
      <c r="C9" s="148"/>
      <c r="D9" s="49">
        <f>'B.C- FONDO '!G10</f>
        <v>145205.10000000003</v>
      </c>
      <c r="E9" s="50">
        <v>255368</v>
      </c>
      <c r="F9" s="149" t="s">
        <v>52</v>
      </c>
      <c r="G9" s="150"/>
      <c r="H9" s="49">
        <f>-'B.C- FONDO '!G17</f>
        <v>113262.00999999998</v>
      </c>
      <c r="I9" s="51">
        <v>6351</v>
      </c>
    </row>
    <row r="10" spans="1:10" ht="17.25" customHeight="1">
      <c r="B10" s="151" t="s">
        <v>53</v>
      </c>
      <c r="C10" s="152"/>
      <c r="D10" s="52">
        <f>'B.C- FONDO '!G14</f>
        <v>3422179.63</v>
      </c>
      <c r="E10" s="53">
        <v>2451318</v>
      </c>
      <c r="F10" s="153" t="s">
        <v>54</v>
      </c>
      <c r="G10" s="154"/>
      <c r="H10" s="54">
        <f>-'B.C- FONDO '!G19</f>
        <v>2633</v>
      </c>
      <c r="I10" s="55">
        <v>3697</v>
      </c>
    </row>
    <row r="11" spans="1:10" ht="17.25" customHeight="1">
      <c r="B11" s="151"/>
      <c r="C11" s="152"/>
      <c r="D11" s="52"/>
      <c r="E11" s="55"/>
      <c r="F11" s="155" t="s">
        <v>55</v>
      </c>
      <c r="G11" s="156"/>
      <c r="H11" s="56">
        <f>H9+H10</f>
        <v>115895.00999999998</v>
      </c>
      <c r="I11" s="56">
        <f>I9+I10</f>
        <v>10048</v>
      </c>
    </row>
    <row r="12" spans="1:10" ht="17.25" customHeight="1">
      <c r="B12" s="151"/>
      <c r="C12" s="152"/>
      <c r="D12" s="52"/>
      <c r="E12" s="55"/>
      <c r="F12" s="155"/>
      <c r="G12" s="156"/>
      <c r="H12" s="52"/>
      <c r="I12" s="55"/>
    </row>
    <row r="13" spans="1:10" ht="17.25" customHeight="1">
      <c r="B13" s="151"/>
      <c r="C13" s="152"/>
      <c r="D13" s="52"/>
      <c r="E13" s="55"/>
      <c r="F13" s="153"/>
      <c r="G13" s="154"/>
      <c r="H13" s="52"/>
      <c r="I13" s="55"/>
    </row>
    <row r="14" spans="1:10" ht="17.25" customHeight="1">
      <c r="B14" s="151"/>
      <c r="C14" s="152"/>
      <c r="D14" s="52"/>
      <c r="E14" s="55"/>
      <c r="F14" s="153" t="s">
        <v>56</v>
      </c>
      <c r="G14" s="154"/>
      <c r="H14" s="56">
        <f>H16</f>
        <v>597258</v>
      </c>
      <c r="I14" s="56">
        <f>I16</f>
        <v>597258</v>
      </c>
    </row>
    <row r="15" spans="1:10" ht="17.25" customHeight="1">
      <c r="B15" s="151"/>
      <c r="C15" s="152"/>
      <c r="D15" s="52"/>
      <c r="E15" s="55"/>
      <c r="F15" s="153" t="s">
        <v>57</v>
      </c>
      <c r="G15" s="154"/>
      <c r="H15" s="52"/>
      <c r="I15" s="55"/>
    </row>
    <row r="16" spans="1:10" ht="17.25" customHeight="1">
      <c r="B16" s="151"/>
      <c r="C16" s="152"/>
      <c r="D16" s="52"/>
      <c r="E16" s="55"/>
      <c r="F16" s="153" t="s">
        <v>58</v>
      </c>
      <c r="G16" s="154"/>
      <c r="H16" s="52">
        <f>-'B.C- FONDO '!G22</f>
        <v>597258</v>
      </c>
      <c r="I16" s="55">
        <v>597258</v>
      </c>
    </row>
    <row r="17" spans="2:11" ht="17.25" customHeight="1">
      <c r="B17" s="151"/>
      <c r="C17" s="152"/>
      <c r="D17" s="52"/>
      <c r="E17" s="55"/>
      <c r="F17" s="153" t="s">
        <v>59</v>
      </c>
      <c r="G17" s="154"/>
      <c r="H17" s="52"/>
      <c r="I17" s="55"/>
    </row>
    <row r="18" spans="2:11" ht="17.25" customHeight="1">
      <c r="B18" s="57"/>
      <c r="C18" s="58"/>
      <c r="D18" s="52"/>
      <c r="E18" s="55"/>
      <c r="F18" s="157" t="s">
        <v>60</v>
      </c>
      <c r="G18" s="158"/>
      <c r="H18" s="59">
        <f>H19+H20</f>
        <v>2854231.72</v>
      </c>
      <c r="I18" s="56">
        <f>I19+I20</f>
        <v>2099380</v>
      </c>
    </row>
    <row r="19" spans="2:11" ht="17.25" customHeight="1">
      <c r="B19" s="151"/>
      <c r="C19" s="152"/>
      <c r="D19" s="52"/>
      <c r="E19" s="55"/>
      <c r="F19" s="153" t="s">
        <v>61</v>
      </c>
      <c r="G19" s="154"/>
      <c r="H19" s="52">
        <f>-'B.C- FONDO '!G26</f>
        <v>2099380</v>
      </c>
      <c r="I19" s="55">
        <v>835733</v>
      </c>
      <c r="K19" s="108"/>
    </row>
    <row r="20" spans="2:11" ht="17.25" customHeight="1">
      <c r="B20" s="151"/>
      <c r="C20" s="152"/>
      <c r="D20" s="52"/>
      <c r="E20" s="55"/>
      <c r="F20" s="153" t="s">
        <v>62</v>
      </c>
      <c r="G20" s="154"/>
      <c r="H20" s="60">
        <f>'FORMATO "B" - FONDO 2'!C18</f>
        <v>754851.72000000032</v>
      </c>
      <c r="I20" s="60">
        <v>1263647</v>
      </c>
    </row>
    <row r="21" spans="2:11" ht="17.25" customHeight="1" thickBot="1">
      <c r="B21" s="151"/>
      <c r="C21" s="152"/>
      <c r="D21" s="61"/>
      <c r="E21" s="61"/>
      <c r="F21" s="153" t="s">
        <v>63</v>
      </c>
      <c r="G21" s="154"/>
      <c r="H21" s="62">
        <f>H14+H18</f>
        <v>3451489.72</v>
      </c>
      <c r="I21" s="62">
        <f>I14+I18</f>
        <v>2696638</v>
      </c>
    </row>
    <row r="22" spans="2:11" ht="17.25" customHeight="1" thickBot="1">
      <c r="B22" s="161" t="s">
        <v>64</v>
      </c>
      <c r="C22" s="162"/>
      <c r="D22" s="63">
        <f>D9+D10</f>
        <v>3567384.73</v>
      </c>
      <c r="E22" s="63">
        <f>E9+E10</f>
        <v>2706686</v>
      </c>
      <c r="F22" s="155" t="s">
        <v>65</v>
      </c>
      <c r="G22" s="156"/>
      <c r="H22" s="64">
        <f>H11+H21</f>
        <v>3567384.73</v>
      </c>
      <c r="I22" s="65">
        <f>I11+I21</f>
        <v>2706686</v>
      </c>
    </row>
    <row r="23" spans="2:11" ht="17.25" customHeight="1" thickTop="1" thickBot="1">
      <c r="B23" s="163"/>
      <c r="C23" s="164"/>
      <c r="D23" s="66"/>
      <c r="E23" s="67"/>
      <c r="F23" s="165"/>
      <c r="G23" s="166"/>
      <c r="H23" s="68"/>
      <c r="I23" s="67"/>
    </row>
    <row r="24" spans="2:11" ht="17.25" customHeight="1">
      <c r="B24" s="69"/>
      <c r="C24" s="167"/>
      <c r="D24" s="167"/>
      <c r="E24" s="167"/>
      <c r="F24" s="167"/>
      <c r="G24" s="70"/>
      <c r="H24" s="70"/>
      <c r="I24" s="70"/>
    </row>
    <row r="25" spans="2:11" ht="12.75" customHeight="1">
      <c r="B25" s="38"/>
      <c r="G25" s="160"/>
      <c r="H25" s="160"/>
      <c r="I25" s="160"/>
      <c r="J25" s="160"/>
    </row>
    <row r="26" spans="2:11" ht="13.5" customHeight="1">
      <c r="B26" s="39"/>
      <c r="G26" s="159"/>
      <c r="H26" s="159"/>
      <c r="I26" s="159"/>
      <c r="J26" s="159"/>
    </row>
    <row r="27" spans="2:11" ht="12.75" customHeight="1">
      <c r="B27" s="38"/>
      <c r="G27" s="160"/>
      <c r="H27" s="160"/>
      <c r="I27" s="160"/>
      <c r="J27" s="160"/>
    </row>
    <row r="28" spans="2:11" ht="17.25" customHeight="1">
      <c r="G28" s="160"/>
      <c r="H28" s="160"/>
      <c r="I28" s="160"/>
      <c r="J28" s="160"/>
    </row>
    <row r="29" spans="2:11" ht="12.75" customHeight="1"/>
  </sheetData>
  <mergeCells count="40">
    <mergeCell ref="G26:J26"/>
    <mergeCell ref="G27:J27"/>
    <mergeCell ref="G28:J28"/>
    <mergeCell ref="B22:C22"/>
    <mergeCell ref="F22:G22"/>
    <mergeCell ref="B23:C23"/>
    <mergeCell ref="F23:G23"/>
    <mergeCell ref="C24:F24"/>
    <mergeCell ref="G25:J25"/>
    <mergeCell ref="B21:C21"/>
    <mergeCell ref="F21:G21"/>
    <mergeCell ref="B15:C15"/>
    <mergeCell ref="F15:G15"/>
    <mergeCell ref="B16:C16"/>
    <mergeCell ref="F16:G16"/>
    <mergeCell ref="B17:C17"/>
    <mergeCell ref="F17:G17"/>
    <mergeCell ref="F18:G18"/>
    <mergeCell ref="B19:C19"/>
    <mergeCell ref="F19:G19"/>
    <mergeCell ref="B20:C20"/>
    <mergeCell ref="F20:G20"/>
    <mergeCell ref="B12:C12"/>
    <mergeCell ref="F12:G12"/>
    <mergeCell ref="B13:C13"/>
    <mergeCell ref="F13:G13"/>
    <mergeCell ref="B14:C14"/>
    <mergeCell ref="F14:G14"/>
    <mergeCell ref="B9:C9"/>
    <mergeCell ref="F9:G9"/>
    <mergeCell ref="B10:C10"/>
    <mergeCell ref="F10:G10"/>
    <mergeCell ref="B11:C11"/>
    <mergeCell ref="F11:G11"/>
    <mergeCell ref="B4:I4"/>
    <mergeCell ref="B5:I5"/>
    <mergeCell ref="B7:C7"/>
    <mergeCell ref="F7:G7"/>
    <mergeCell ref="B8:C8"/>
    <mergeCell ref="F8:G8"/>
  </mergeCells>
  <pageMargins left="0.70866141732283472" right="0.70866141732283472" top="0.39370078740157483" bottom="0.27559055118110237" header="0.31496062992125984" footer="0.23622047244094491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P36"/>
  <sheetViews>
    <sheetView zoomScale="96" zoomScaleNormal="96" workbookViewId="0">
      <selection activeCell="B3" sqref="B3:G3"/>
    </sheetView>
  </sheetViews>
  <sheetFormatPr baseColWidth="10" defaultRowHeight="12.75"/>
  <cols>
    <col min="1" max="1" width="3" customWidth="1"/>
    <col min="2" max="2" width="38.140625" customWidth="1"/>
    <col min="3" max="3" width="17.140625" customWidth="1"/>
    <col min="4" max="4" width="18.140625" customWidth="1"/>
  </cols>
  <sheetData>
    <row r="1" spans="2:6">
      <c r="D1" s="41" t="s">
        <v>66</v>
      </c>
    </row>
    <row r="2" spans="2:6">
      <c r="B2" s="71"/>
    </row>
    <row r="3" spans="2:6" ht="13.5" customHeight="1">
      <c r="B3" s="135" t="s">
        <v>1</v>
      </c>
      <c r="C3" s="135"/>
      <c r="D3" s="135"/>
    </row>
    <row r="4" spans="2:6" ht="13.5" customHeight="1">
      <c r="B4" s="142" t="s">
        <v>109</v>
      </c>
      <c r="C4" s="142"/>
      <c r="D4" s="142"/>
    </row>
    <row r="5" spans="2:6" ht="18" customHeight="1" thickBot="1">
      <c r="B5" s="40"/>
    </row>
    <row r="6" spans="2:6" ht="18" customHeight="1">
      <c r="B6" s="72" t="s">
        <v>3</v>
      </c>
      <c r="C6" s="73" t="s">
        <v>48</v>
      </c>
      <c r="D6" s="72" t="s">
        <v>67</v>
      </c>
    </row>
    <row r="7" spans="2:6" ht="14.25" thickBot="1">
      <c r="B7" s="74"/>
      <c r="C7" s="75" t="s">
        <v>7</v>
      </c>
      <c r="D7" s="76" t="s">
        <v>7</v>
      </c>
    </row>
    <row r="8" spans="2:6" ht="13.5" customHeight="1">
      <c r="B8" s="77"/>
      <c r="C8" s="78"/>
      <c r="D8" s="79"/>
    </row>
    <row r="9" spans="2:6" ht="17.25" customHeight="1">
      <c r="B9" s="80" t="s">
        <v>68</v>
      </c>
      <c r="C9" s="81">
        <f>-'B.C- FONDO '!G37</f>
        <v>2884771.2</v>
      </c>
      <c r="D9" s="55">
        <v>4386114</v>
      </c>
    </row>
    <row r="10" spans="2:6" ht="17.25" customHeight="1" thickBot="1">
      <c r="B10" s="80" t="s">
        <v>69</v>
      </c>
      <c r="C10" s="82">
        <f>-'B.C- FONDO '!G38</f>
        <v>1777.2</v>
      </c>
      <c r="D10" s="55">
        <v>1916</v>
      </c>
    </row>
    <row r="11" spans="2:6" ht="17.25" customHeight="1" thickTop="1">
      <c r="B11" s="83" t="s">
        <v>70</v>
      </c>
      <c r="C11" s="84">
        <f>C9+C10</f>
        <v>2886548.4000000004</v>
      </c>
      <c r="D11" s="85">
        <f>D9+D10</f>
        <v>4388030</v>
      </c>
    </row>
    <row r="12" spans="2:6" ht="17.25" customHeight="1">
      <c r="B12" s="80" t="s">
        <v>71</v>
      </c>
      <c r="C12" s="81">
        <f>-'B.C- FONDO '!G30</f>
        <v>-2173089.85</v>
      </c>
      <c r="D12" s="55">
        <v>-3094882</v>
      </c>
    </row>
    <row r="13" spans="2:6" ht="17.25" customHeight="1" thickBot="1">
      <c r="B13" s="80" t="s">
        <v>72</v>
      </c>
      <c r="C13" s="61">
        <f>-'B.C- FONDO '!G33</f>
        <v>-36088.699999999997</v>
      </c>
      <c r="D13" s="61">
        <v>-54849</v>
      </c>
    </row>
    <row r="14" spans="2:6" ht="17.25" customHeight="1">
      <c r="B14" s="83" t="s">
        <v>73</v>
      </c>
      <c r="C14" s="56">
        <f>C11+C12+C13</f>
        <v>677369.85000000033</v>
      </c>
      <c r="D14" s="56">
        <f>D11+D12+D13</f>
        <v>1238299</v>
      </c>
    </row>
    <row r="15" spans="2:6" ht="17.25" customHeight="1" thickBot="1">
      <c r="B15" s="80" t="s">
        <v>74</v>
      </c>
      <c r="C15" s="61">
        <f>(-'B.C- FONDO '!G40)-('B.C- FONDO '!G34)</f>
        <v>77481.87</v>
      </c>
      <c r="D15" s="55">
        <v>25348</v>
      </c>
    </row>
    <row r="16" spans="2:6" ht="17.25" customHeight="1" thickBot="1">
      <c r="B16" s="83" t="s">
        <v>75</v>
      </c>
      <c r="C16" s="87">
        <f>C14+C15</f>
        <v>754851.72000000032</v>
      </c>
      <c r="D16" s="87">
        <f>D14+D15</f>
        <v>1263647</v>
      </c>
      <c r="E16" s="86"/>
      <c r="F16" s="86"/>
    </row>
    <row r="17" spans="2:16" ht="17.25" customHeight="1">
      <c r="B17" s="80"/>
      <c r="C17" s="88"/>
      <c r="D17" s="89"/>
      <c r="E17" s="86"/>
      <c r="F17" s="86"/>
    </row>
    <row r="18" spans="2:16" ht="17.25" customHeight="1" thickBot="1">
      <c r="B18" s="83" t="s">
        <v>76</v>
      </c>
      <c r="C18" s="63">
        <f>C16</f>
        <v>754851.72000000032</v>
      </c>
      <c r="D18" s="63">
        <f>D16</f>
        <v>1263647</v>
      </c>
      <c r="E18" s="86"/>
      <c r="F18" s="86"/>
    </row>
    <row r="19" spans="2:16" ht="17.25" customHeight="1" thickTop="1" thickBot="1">
      <c r="B19" s="90"/>
      <c r="C19" s="82"/>
      <c r="D19" s="61"/>
      <c r="G19" s="86"/>
      <c r="H19" s="86"/>
      <c r="I19" s="86"/>
      <c r="J19" s="86"/>
      <c r="K19" s="86"/>
      <c r="L19" s="86"/>
      <c r="M19" s="86"/>
      <c r="N19" s="86"/>
      <c r="O19" s="86"/>
      <c r="P19" s="86"/>
    </row>
    <row r="20" spans="2:16" ht="17.25" customHeight="1">
      <c r="B20" s="71"/>
      <c r="G20" s="86"/>
      <c r="H20" s="86"/>
      <c r="I20" s="86"/>
      <c r="J20" s="86"/>
      <c r="K20" s="86"/>
      <c r="L20" s="86"/>
      <c r="M20" s="86"/>
      <c r="N20" s="86"/>
      <c r="O20" s="86"/>
      <c r="P20" s="86"/>
    </row>
    <row r="21" spans="2:16" ht="0.75" customHeight="1">
      <c r="G21" s="86"/>
      <c r="H21" s="86"/>
      <c r="I21" s="86"/>
      <c r="J21" s="86"/>
      <c r="K21" s="86"/>
      <c r="L21" s="86"/>
      <c r="M21" s="86"/>
      <c r="N21" s="86"/>
      <c r="O21" s="86"/>
      <c r="P21" s="86"/>
    </row>
    <row r="22" spans="2:16" ht="18" customHeight="1"/>
    <row r="26" spans="2:16" ht="12.75" customHeight="1">
      <c r="B26" s="38"/>
      <c r="C26" s="160"/>
      <c r="D26" s="160"/>
      <c r="E26" s="160"/>
      <c r="F26" s="160"/>
    </row>
    <row r="27" spans="2:16" ht="12.75" customHeight="1">
      <c r="B27" s="39"/>
      <c r="C27" s="159"/>
      <c r="D27" s="159"/>
      <c r="E27" s="159"/>
      <c r="F27" s="159"/>
    </row>
    <row r="28" spans="2:16" ht="18" customHeight="1">
      <c r="B28" s="38"/>
      <c r="C28" s="160"/>
      <c r="D28" s="160"/>
      <c r="E28" s="160"/>
      <c r="F28" s="160"/>
    </row>
    <row r="29" spans="2:16" ht="17.25" customHeight="1">
      <c r="C29" s="160"/>
      <c r="D29" s="160"/>
      <c r="E29" s="160"/>
      <c r="F29" s="160"/>
    </row>
    <row r="30" spans="2:16" ht="18.75" customHeight="1"/>
    <row r="31" spans="2:16" ht="12.75" customHeight="1"/>
    <row r="32" spans="2:16" ht="13.5" customHeight="1"/>
    <row r="33" spans="2:6" ht="12.75" customHeight="1">
      <c r="B33" s="38"/>
      <c r="C33" s="168"/>
      <c r="D33" s="168"/>
      <c r="E33" s="168"/>
      <c r="F33" s="168"/>
    </row>
    <row r="34" spans="2:6">
      <c r="B34" s="39"/>
      <c r="C34" s="169"/>
      <c r="D34" s="169"/>
      <c r="E34" s="169"/>
      <c r="F34" s="169"/>
    </row>
    <row r="35" spans="2:6" ht="13.5">
      <c r="B35" s="38"/>
      <c r="C35" s="168"/>
      <c r="D35" s="168"/>
      <c r="E35" s="168"/>
      <c r="F35" s="168"/>
    </row>
    <row r="36" spans="2:6" ht="13.5">
      <c r="C36" s="168"/>
      <c r="D36" s="168"/>
      <c r="E36" s="168"/>
      <c r="F36" s="168"/>
    </row>
  </sheetData>
  <mergeCells count="10">
    <mergeCell ref="C33:F33"/>
    <mergeCell ref="C34:F34"/>
    <mergeCell ref="C35:F35"/>
    <mergeCell ref="C36:F36"/>
    <mergeCell ref="B3:D3"/>
    <mergeCell ref="B4:D4"/>
    <mergeCell ref="C26:F26"/>
    <mergeCell ref="C27:F27"/>
    <mergeCell ref="C28:F28"/>
    <mergeCell ref="C29:F29"/>
  </mergeCells>
  <pageMargins left="0.70866141732283472" right="0.70866141732283472" top="0.86614173228346458" bottom="0.74803149606299213" header="0.31496062992125984" footer="0.31496062992125984"/>
  <pageSetup paperSize="9" orientation="portrait" r:id="rId1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8"/>
  <sheetViews>
    <sheetView workbookViewId="0">
      <selection activeCell="B3" sqref="B3:G3"/>
    </sheetView>
  </sheetViews>
  <sheetFormatPr baseColWidth="10" defaultRowHeight="12.75"/>
  <cols>
    <col min="1" max="1" width="45.5703125" customWidth="1"/>
    <col min="2" max="3" width="11.42578125" style="95"/>
  </cols>
  <sheetData>
    <row r="1" spans="1:3" ht="15">
      <c r="A1" s="170" t="s">
        <v>77</v>
      </c>
      <c r="B1" s="170"/>
      <c r="C1" s="170"/>
    </row>
    <row r="2" spans="1:3">
      <c r="A2" s="92" t="s">
        <v>78</v>
      </c>
      <c r="B2" s="93"/>
      <c r="C2" s="93"/>
    </row>
    <row r="3" spans="1:3">
      <c r="A3" s="92" t="s">
        <v>79</v>
      </c>
      <c r="B3" s="93"/>
      <c r="C3" s="93">
        <f>B4</f>
        <v>145205.10000000003</v>
      </c>
    </row>
    <row r="4" spans="1:3">
      <c r="A4" s="92" t="s">
        <v>80</v>
      </c>
      <c r="B4" s="93">
        <f>+'B.C- FONDO '!G10</f>
        <v>145205.10000000003</v>
      </c>
      <c r="C4" s="93"/>
    </row>
    <row r="5" spans="1:3">
      <c r="A5" s="92"/>
      <c r="B5" s="93"/>
      <c r="C5" s="93"/>
    </row>
    <row r="6" spans="1:3">
      <c r="A6" s="92"/>
      <c r="B6" s="93"/>
      <c r="C6" s="93"/>
    </row>
    <row r="7" spans="1:3">
      <c r="A7" s="92"/>
      <c r="B7" s="93"/>
      <c r="C7" s="93"/>
    </row>
    <row r="8" spans="1:3" ht="15">
      <c r="A8" s="171" t="s">
        <v>110</v>
      </c>
      <c r="B8" s="171"/>
      <c r="C8" s="94">
        <f>SUM(C2:C7)</f>
        <v>145205.10000000003</v>
      </c>
    </row>
  </sheetData>
  <mergeCells count="2">
    <mergeCell ref="A1:C1"/>
    <mergeCell ref="A8:B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53"/>
  <sheetViews>
    <sheetView workbookViewId="0">
      <selection activeCell="B3" sqref="B3:G3"/>
    </sheetView>
  </sheetViews>
  <sheetFormatPr baseColWidth="10" defaultRowHeight="12.75"/>
  <cols>
    <col min="1" max="1" width="27.7109375" style="96" customWidth="1"/>
    <col min="2" max="2" width="11.42578125" style="96"/>
    <col min="3" max="3" width="13" style="100" customWidth="1"/>
    <col min="4" max="4" width="11.42578125" style="96"/>
    <col min="5" max="5" width="12.28515625" style="101" bestFit="1" customWidth="1"/>
    <col min="6" max="16384" width="11.42578125" style="96"/>
  </cols>
  <sheetData>
    <row r="1" spans="1:5" ht="12.75" customHeight="1">
      <c r="A1" s="170" t="s">
        <v>111</v>
      </c>
      <c r="B1" s="170"/>
      <c r="C1" s="170"/>
      <c r="D1" s="170"/>
      <c r="E1" s="170"/>
    </row>
    <row r="2" spans="1:5" ht="12.75" customHeight="1">
      <c r="A2" s="97"/>
      <c r="B2" s="172" t="s">
        <v>81</v>
      </c>
      <c r="C2" s="172"/>
      <c r="D2" s="172"/>
      <c r="E2" s="172"/>
    </row>
    <row r="3" spans="1:5" ht="12.75" customHeight="1">
      <c r="A3" s="107" t="s">
        <v>82</v>
      </c>
      <c r="B3" s="107" t="s">
        <v>83</v>
      </c>
      <c r="C3" s="98" t="s">
        <v>84</v>
      </c>
      <c r="D3" s="107" t="s">
        <v>85</v>
      </c>
      <c r="E3" s="99" t="s">
        <v>86</v>
      </c>
    </row>
    <row r="4" spans="1:5" ht="12.75" customHeight="1">
      <c r="A4" s="125" t="s">
        <v>112</v>
      </c>
      <c r="B4" s="111" t="s">
        <v>141</v>
      </c>
      <c r="C4" s="109" t="s">
        <v>113</v>
      </c>
      <c r="D4" s="114">
        <v>43830</v>
      </c>
      <c r="E4" s="110">
        <v>3030.99</v>
      </c>
    </row>
    <row r="5" spans="1:5" ht="12.75" customHeight="1">
      <c r="A5" s="125" t="s">
        <v>112</v>
      </c>
      <c r="B5" s="111" t="s">
        <v>141</v>
      </c>
      <c r="C5" s="109" t="s">
        <v>114</v>
      </c>
      <c r="D5" s="114">
        <v>43830</v>
      </c>
      <c r="E5" s="110">
        <v>6018</v>
      </c>
    </row>
    <row r="6" spans="1:5" ht="12.75" customHeight="1">
      <c r="A6" s="125" t="s">
        <v>112</v>
      </c>
      <c r="B6" s="111" t="s">
        <v>141</v>
      </c>
      <c r="C6" s="109" t="s">
        <v>115</v>
      </c>
      <c r="D6" s="114">
        <v>43830</v>
      </c>
      <c r="E6" s="110">
        <v>1222.5899999999999</v>
      </c>
    </row>
    <row r="7" spans="1:5" ht="12.75" customHeight="1">
      <c r="A7" s="125" t="s">
        <v>112</v>
      </c>
      <c r="B7" s="111" t="s">
        <v>141</v>
      </c>
      <c r="C7" s="109" t="s">
        <v>116</v>
      </c>
      <c r="D7" s="114">
        <v>43830</v>
      </c>
      <c r="E7" s="110">
        <v>1540.6</v>
      </c>
    </row>
    <row r="8" spans="1:5" ht="12.75" customHeight="1">
      <c r="A8" s="125" t="s">
        <v>112</v>
      </c>
      <c r="B8" s="111" t="s">
        <v>141</v>
      </c>
      <c r="C8" s="109" t="s">
        <v>117</v>
      </c>
      <c r="D8" s="114">
        <v>43830</v>
      </c>
      <c r="E8" s="110">
        <v>1251.99</v>
      </c>
    </row>
    <row r="9" spans="1:5" ht="12.75" customHeight="1">
      <c r="A9" s="125" t="s">
        <v>112</v>
      </c>
      <c r="B9" s="111" t="s">
        <v>141</v>
      </c>
      <c r="C9" s="109" t="s">
        <v>118</v>
      </c>
      <c r="D9" s="114">
        <v>43830</v>
      </c>
      <c r="E9" s="110">
        <v>627</v>
      </c>
    </row>
    <row r="10" spans="1:5" ht="12.75" customHeight="1">
      <c r="A10" s="125" t="s">
        <v>112</v>
      </c>
      <c r="B10" s="111" t="s">
        <v>141</v>
      </c>
      <c r="C10" s="109" t="s">
        <v>119</v>
      </c>
      <c r="D10" s="114">
        <v>43830</v>
      </c>
      <c r="E10" s="110">
        <v>5793.8</v>
      </c>
    </row>
    <row r="11" spans="1:5" ht="12.75" customHeight="1">
      <c r="A11" s="125" t="s">
        <v>112</v>
      </c>
      <c r="B11" s="111" t="s">
        <v>141</v>
      </c>
      <c r="C11" s="109" t="s">
        <v>120</v>
      </c>
      <c r="D11" s="114">
        <v>43830</v>
      </c>
      <c r="E11" s="110">
        <v>1248.5899999999999</v>
      </c>
    </row>
    <row r="12" spans="1:5" ht="12.75" customHeight="1">
      <c r="A12" s="125" t="s">
        <v>112</v>
      </c>
      <c r="B12" s="111" t="s">
        <v>141</v>
      </c>
      <c r="C12" s="109" t="s">
        <v>121</v>
      </c>
      <c r="D12" s="114">
        <v>43830</v>
      </c>
      <c r="E12" s="110">
        <v>1796.1</v>
      </c>
    </row>
    <row r="13" spans="1:5" ht="12.75" customHeight="1">
      <c r="A13" s="125" t="s">
        <v>112</v>
      </c>
      <c r="B13" s="111" t="s">
        <v>141</v>
      </c>
      <c r="C13" s="109" t="s">
        <v>122</v>
      </c>
      <c r="D13" s="114">
        <v>43830</v>
      </c>
      <c r="E13" s="110">
        <v>175</v>
      </c>
    </row>
    <row r="14" spans="1:5" ht="12.75" customHeight="1">
      <c r="A14" s="125" t="s">
        <v>112</v>
      </c>
      <c r="B14" s="111" t="s">
        <v>141</v>
      </c>
      <c r="C14" s="109" t="s">
        <v>140</v>
      </c>
      <c r="D14" s="114">
        <v>43830</v>
      </c>
      <c r="E14" s="110">
        <v>603</v>
      </c>
    </row>
    <row r="15" spans="1:5" ht="12.75" customHeight="1">
      <c r="A15" s="125" t="s">
        <v>112</v>
      </c>
      <c r="B15" s="111" t="s">
        <v>141</v>
      </c>
      <c r="C15" s="109" t="s">
        <v>123</v>
      </c>
      <c r="D15" s="114">
        <v>43830</v>
      </c>
      <c r="E15" s="110">
        <v>645.99</v>
      </c>
    </row>
    <row r="16" spans="1:5" ht="12.75" customHeight="1">
      <c r="A16" s="125" t="s">
        <v>112</v>
      </c>
      <c r="B16" s="111" t="s">
        <v>141</v>
      </c>
      <c r="C16" s="109" t="s">
        <v>124</v>
      </c>
      <c r="D16" s="114">
        <v>43830</v>
      </c>
      <c r="E16" s="110">
        <v>1160.48</v>
      </c>
    </row>
    <row r="17" spans="1:5" ht="12.75" customHeight="1">
      <c r="A17" s="125" t="s">
        <v>112</v>
      </c>
      <c r="B17" s="111" t="s">
        <v>141</v>
      </c>
      <c r="C17" s="109" t="s">
        <v>125</v>
      </c>
      <c r="D17" s="114">
        <v>43830</v>
      </c>
      <c r="E17" s="110">
        <v>750.99</v>
      </c>
    </row>
    <row r="18" spans="1:5" ht="12.75" customHeight="1">
      <c r="A18" s="125" t="s">
        <v>112</v>
      </c>
      <c r="B18" s="111" t="s">
        <v>141</v>
      </c>
      <c r="C18" s="109" t="s">
        <v>126</v>
      </c>
      <c r="D18" s="114">
        <v>43830</v>
      </c>
      <c r="E18" s="110">
        <v>664</v>
      </c>
    </row>
    <row r="19" spans="1:5" ht="12.75" customHeight="1">
      <c r="A19" s="125" t="s">
        <v>112</v>
      </c>
      <c r="B19" s="111" t="s">
        <v>141</v>
      </c>
      <c r="C19" s="109" t="s">
        <v>127</v>
      </c>
      <c r="D19" s="114">
        <v>43830</v>
      </c>
      <c r="E19" s="110">
        <v>846.99</v>
      </c>
    </row>
    <row r="20" spans="1:5" ht="12.75" customHeight="1">
      <c r="A20" s="125" t="s">
        <v>112</v>
      </c>
      <c r="B20" s="111" t="s">
        <v>141</v>
      </c>
      <c r="C20" s="109" t="s">
        <v>128</v>
      </c>
      <c r="D20" s="114">
        <v>43830</v>
      </c>
      <c r="E20" s="110">
        <v>763.5</v>
      </c>
    </row>
    <row r="21" spans="1:5" ht="12.75" customHeight="1">
      <c r="A21" s="125" t="s">
        <v>112</v>
      </c>
      <c r="B21" s="111" t="s">
        <v>141</v>
      </c>
      <c r="C21" s="109" t="s">
        <v>129</v>
      </c>
      <c r="D21" s="114">
        <v>43830</v>
      </c>
      <c r="E21" s="110">
        <v>603</v>
      </c>
    </row>
    <row r="22" spans="1:5" ht="12.75" customHeight="1">
      <c r="A22" s="125" t="s">
        <v>112</v>
      </c>
      <c r="B22" s="111" t="s">
        <v>141</v>
      </c>
      <c r="C22" s="109" t="s">
        <v>130</v>
      </c>
      <c r="D22" s="114">
        <v>43830</v>
      </c>
      <c r="E22" s="110">
        <v>1298</v>
      </c>
    </row>
    <row r="23" spans="1:5" ht="12.75" customHeight="1">
      <c r="A23" s="125"/>
      <c r="B23" s="111"/>
      <c r="C23" s="109"/>
      <c r="D23" s="114"/>
      <c r="E23" s="110"/>
    </row>
    <row r="24" spans="1:5" ht="12.75" customHeight="1">
      <c r="A24" s="173" t="s">
        <v>87</v>
      </c>
      <c r="B24" s="173"/>
      <c r="C24" s="173"/>
      <c r="D24" s="173"/>
      <c r="E24" s="117">
        <f>SUM(E4:E23)</f>
        <v>30040.610000000004</v>
      </c>
    </row>
    <row r="25" spans="1:5" ht="12.75" customHeight="1">
      <c r="A25" s="120"/>
      <c r="B25" s="120"/>
      <c r="C25" s="120"/>
      <c r="D25" s="120"/>
      <c r="E25" s="121"/>
    </row>
    <row r="27" spans="1:5">
      <c r="A27" s="174" t="s">
        <v>88</v>
      </c>
      <c r="B27" s="172" t="s">
        <v>89</v>
      </c>
      <c r="C27" s="172"/>
      <c r="D27" s="172"/>
      <c r="E27" s="172"/>
    </row>
    <row r="28" spans="1:5">
      <c r="A28" s="174"/>
      <c r="B28" s="107" t="s">
        <v>85</v>
      </c>
      <c r="C28" s="172" t="s">
        <v>90</v>
      </c>
      <c r="D28" s="172"/>
      <c r="E28" s="99" t="s">
        <v>86</v>
      </c>
    </row>
    <row r="29" spans="1:5" ht="12.75" customHeight="1">
      <c r="A29" s="126" t="s">
        <v>131</v>
      </c>
      <c r="B29" s="114">
        <v>43830</v>
      </c>
      <c r="C29" s="175" t="s">
        <v>97</v>
      </c>
      <c r="D29" s="176"/>
      <c r="E29" s="115">
        <v>583.4</v>
      </c>
    </row>
    <row r="30" spans="1:5" ht="12.75" customHeight="1">
      <c r="A30" s="104" t="s">
        <v>100</v>
      </c>
      <c r="B30" s="114">
        <v>43830</v>
      </c>
      <c r="C30" s="175" t="s">
        <v>91</v>
      </c>
      <c r="D30" s="176"/>
      <c r="E30" s="116">
        <v>930</v>
      </c>
    </row>
    <row r="31" spans="1:5" ht="12.75" customHeight="1">
      <c r="A31" s="126" t="s">
        <v>131</v>
      </c>
      <c r="B31" s="114">
        <v>43830</v>
      </c>
      <c r="C31" s="175" t="s">
        <v>91</v>
      </c>
      <c r="D31" s="176"/>
      <c r="E31" s="124">
        <v>1085</v>
      </c>
    </row>
    <row r="32" spans="1:5" ht="12.75" customHeight="1">
      <c r="A32" s="126" t="s">
        <v>132</v>
      </c>
      <c r="B32" s="114">
        <v>43830</v>
      </c>
      <c r="C32" s="175" t="s">
        <v>91</v>
      </c>
      <c r="D32" s="176"/>
      <c r="E32" s="124">
        <v>868</v>
      </c>
    </row>
    <row r="33" spans="1:5" ht="12.75" customHeight="1">
      <c r="A33" s="126" t="s">
        <v>133</v>
      </c>
      <c r="B33" s="114">
        <v>43830</v>
      </c>
      <c r="C33" s="175" t="s">
        <v>91</v>
      </c>
      <c r="D33" s="176"/>
      <c r="E33" s="124">
        <v>930</v>
      </c>
    </row>
    <row r="34" spans="1:5" ht="12.75" customHeight="1">
      <c r="A34" s="127" t="s">
        <v>102</v>
      </c>
      <c r="B34" s="114">
        <v>43830</v>
      </c>
      <c r="C34" s="175" t="s">
        <v>91</v>
      </c>
      <c r="D34" s="176"/>
      <c r="E34" s="128">
        <v>930</v>
      </c>
    </row>
    <row r="35" spans="1:5" ht="12.75" customHeight="1">
      <c r="A35" s="127" t="s">
        <v>101</v>
      </c>
      <c r="B35" s="114">
        <v>43830</v>
      </c>
      <c r="C35" s="175" t="s">
        <v>91</v>
      </c>
      <c r="D35" s="176"/>
      <c r="E35" s="128">
        <v>1860</v>
      </c>
    </row>
    <row r="36" spans="1:5" ht="12.75" customHeight="1">
      <c r="A36" s="104" t="s">
        <v>134</v>
      </c>
      <c r="B36" s="114">
        <v>43830</v>
      </c>
      <c r="C36" s="175" t="s">
        <v>91</v>
      </c>
      <c r="D36" s="176"/>
      <c r="E36" s="128">
        <v>930</v>
      </c>
    </row>
    <row r="37" spans="1:5" ht="12.75" customHeight="1">
      <c r="A37" s="104" t="s">
        <v>135</v>
      </c>
      <c r="B37" s="114">
        <v>43830</v>
      </c>
      <c r="C37" s="175" t="s">
        <v>91</v>
      </c>
      <c r="D37" s="176"/>
      <c r="E37" s="124">
        <v>1860</v>
      </c>
    </row>
    <row r="38" spans="1:5" ht="12.75" customHeight="1">
      <c r="A38" s="126" t="s">
        <v>103</v>
      </c>
      <c r="B38" s="114">
        <v>43830</v>
      </c>
      <c r="C38" s="175" t="s">
        <v>91</v>
      </c>
      <c r="D38" s="176"/>
      <c r="E38" s="124">
        <v>930</v>
      </c>
    </row>
    <row r="39" spans="1:5" ht="12.75" customHeight="1">
      <c r="A39" s="104" t="s">
        <v>136</v>
      </c>
      <c r="B39" s="114">
        <v>43830</v>
      </c>
      <c r="C39" s="175" t="s">
        <v>91</v>
      </c>
      <c r="D39" s="176"/>
      <c r="E39" s="128">
        <v>930</v>
      </c>
    </row>
    <row r="40" spans="1:5" ht="12.75" customHeight="1">
      <c r="A40" s="104" t="s">
        <v>137</v>
      </c>
      <c r="B40" s="114">
        <v>43830</v>
      </c>
      <c r="C40" s="175" t="s">
        <v>91</v>
      </c>
      <c r="D40" s="176"/>
      <c r="E40" s="124">
        <v>1395</v>
      </c>
    </row>
    <row r="41" spans="1:5" ht="12.75" customHeight="1">
      <c r="A41" s="126" t="s">
        <v>138</v>
      </c>
      <c r="B41" s="114">
        <v>43830</v>
      </c>
      <c r="C41" s="175" t="s">
        <v>91</v>
      </c>
      <c r="D41" s="176"/>
      <c r="E41" s="128">
        <v>2790</v>
      </c>
    </row>
    <row r="42" spans="1:5" ht="12.75" customHeight="1">
      <c r="A42" s="104" t="s">
        <v>139</v>
      </c>
      <c r="B42" s="114">
        <v>43830</v>
      </c>
      <c r="C42" s="175" t="s">
        <v>98</v>
      </c>
      <c r="D42" s="176"/>
      <c r="E42" s="123">
        <v>16800</v>
      </c>
    </row>
    <row r="43" spans="1:5" ht="12.75" customHeight="1">
      <c r="A43" s="104" t="s">
        <v>104</v>
      </c>
      <c r="B43" s="114">
        <v>43830</v>
      </c>
      <c r="C43" s="175" t="s">
        <v>98</v>
      </c>
      <c r="D43" s="176"/>
      <c r="E43" s="123">
        <v>16800</v>
      </c>
    </row>
    <row r="44" spans="1:5" ht="12.75" customHeight="1">
      <c r="A44" s="104" t="s">
        <v>105</v>
      </c>
      <c r="B44" s="114">
        <v>43830</v>
      </c>
      <c r="C44" s="175" t="s">
        <v>98</v>
      </c>
      <c r="D44" s="176"/>
      <c r="E44" s="123">
        <v>16800</v>
      </c>
    </row>
    <row r="45" spans="1:5" ht="12.75" customHeight="1">
      <c r="A45" s="104" t="s">
        <v>106</v>
      </c>
      <c r="B45" s="114">
        <v>43830</v>
      </c>
      <c r="C45" s="175" t="s">
        <v>98</v>
      </c>
      <c r="D45" s="176"/>
      <c r="E45" s="123">
        <v>16800</v>
      </c>
    </row>
    <row r="46" spans="1:5" ht="12.75" customHeight="1">
      <c r="A46" s="112"/>
      <c r="B46" s="114"/>
      <c r="C46" s="175"/>
      <c r="D46" s="176"/>
      <c r="E46" s="116"/>
    </row>
    <row r="47" spans="1:5" ht="12.75" customHeight="1">
      <c r="A47" s="173" t="s">
        <v>87</v>
      </c>
      <c r="B47" s="173"/>
      <c r="C47" s="173"/>
      <c r="D47" s="173"/>
      <c r="E47" s="117">
        <f>SUM(E29:E46)</f>
        <v>83221.399999999994</v>
      </c>
    </row>
    <row r="48" spans="1:5">
      <c r="A48" s="120"/>
      <c r="B48" s="120"/>
      <c r="C48" s="120"/>
      <c r="D48" s="120"/>
      <c r="E48" s="121"/>
    </row>
    <row r="49" spans="1:5">
      <c r="A49" s="120"/>
      <c r="B49" s="120"/>
      <c r="C49" s="120"/>
      <c r="D49" s="120"/>
      <c r="E49" s="121"/>
    </row>
    <row r="50" spans="1:5" ht="15">
      <c r="A50" s="170" t="s">
        <v>142</v>
      </c>
      <c r="B50" s="170"/>
      <c r="C50" s="170"/>
      <c r="D50" s="170"/>
    </row>
    <row r="51" spans="1:5">
      <c r="A51" s="177" t="s">
        <v>92</v>
      </c>
      <c r="B51" s="177"/>
      <c r="C51" s="177"/>
      <c r="D51" s="118">
        <f>E24</f>
        <v>30040.610000000004</v>
      </c>
    </row>
    <row r="52" spans="1:5">
      <c r="A52" s="177" t="s">
        <v>93</v>
      </c>
      <c r="B52" s="177"/>
      <c r="C52" s="177"/>
      <c r="D52" s="115">
        <f>E47</f>
        <v>83221.399999999994</v>
      </c>
    </row>
    <row r="53" spans="1:5">
      <c r="A53" s="173" t="s">
        <v>94</v>
      </c>
      <c r="B53" s="173"/>
      <c r="C53" s="173"/>
      <c r="D53" s="119">
        <f>SUM(D51:D52)</f>
        <v>113262.01</v>
      </c>
    </row>
  </sheetData>
  <mergeCells count="29">
    <mergeCell ref="C36:D36"/>
    <mergeCell ref="C37:D37"/>
    <mergeCell ref="C40:D40"/>
    <mergeCell ref="C41:D41"/>
    <mergeCell ref="C42:D42"/>
    <mergeCell ref="C29:D29"/>
    <mergeCell ref="C30:D30"/>
    <mergeCell ref="C31:D31"/>
    <mergeCell ref="C35:D35"/>
    <mergeCell ref="C33:D33"/>
    <mergeCell ref="C34:D34"/>
    <mergeCell ref="C32:D32"/>
    <mergeCell ref="A53:C53"/>
    <mergeCell ref="C38:D38"/>
    <mergeCell ref="A47:D47"/>
    <mergeCell ref="A50:D50"/>
    <mergeCell ref="A51:C51"/>
    <mergeCell ref="A52:C52"/>
    <mergeCell ref="C46:D46"/>
    <mergeCell ref="C43:D43"/>
    <mergeCell ref="C44:D44"/>
    <mergeCell ref="C45:D45"/>
    <mergeCell ref="C39:D39"/>
    <mergeCell ref="A1:E1"/>
    <mergeCell ref="B2:E2"/>
    <mergeCell ref="A24:D24"/>
    <mergeCell ref="A27:A28"/>
    <mergeCell ref="B27:E27"/>
    <mergeCell ref="C28:D28"/>
  </mergeCells>
  <pageMargins left="0.70866141732283472" right="0.70866141732283472" top="0.39370078740157483" bottom="0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7"/>
  <sheetViews>
    <sheetView workbookViewId="0">
      <selection activeCell="B3" sqref="B3:G3"/>
    </sheetView>
  </sheetViews>
  <sheetFormatPr baseColWidth="10" defaultRowHeight="12.75"/>
  <cols>
    <col min="1" max="1" width="12.7109375" customWidth="1"/>
    <col min="2" max="2" width="12" customWidth="1"/>
    <col min="3" max="3" width="16.140625" customWidth="1"/>
  </cols>
  <sheetData>
    <row r="1" spans="1:3" ht="24.75" customHeight="1">
      <c r="A1" s="178" t="s">
        <v>143</v>
      </c>
      <c r="B1" s="179"/>
      <c r="C1" s="179"/>
    </row>
    <row r="2" spans="1:3" ht="21.75" customHeight="1">
      <c r="A2" s="179"/>
      <c r="B2" s="179"/>
      <c r="C2" s="179"/>
    </row>
    <row r="3" spans="1:3">
      <c r="A3" s="102" t="s">
        <v>95</v>
      </c>
      <c r="B3" s="102" t="s">
        <v>96</v>
      </c>
      <c r="C3" s="102" t="s">
        <v>86</v>
      </c>
    </row>
    <row r="4" spans="1:3">
      <c r="A4" s="103" t="s">
        <v>99</v>
      </c>
      <c r="B4" s="92">
        <v>2019</v>
      </c>
      <c r="C4" s="93">
        <f>+'B.C- FONDO '!F19</f>
        <v>2633</v>
      </c>
    </row>
    <row r="5" spans="1:3">
      <c r="A5" s="103"/>
      <c r="B5" s="92"/>
      <c r="C5" s="93"/>
    </row>
    <row r="6" spans="1:3">
      <c r="A6" s="92"/>
      <c r="B6" s="92"/>
      <c r="C6" s="93"/>
    </row>
    <row r="7" spans="1:3" ht="15">
      <c r="A7" s="171" t="s">
        <v>94</v>
      </c>
      <c r="B7" s="171"/>
      <c r="C7" s="94">
        <f>SUM(C4:C6)</f>
        <v>2633</v>
      </c>
    </row>
  </sheetData>
  <mergeCells count="2">
    <mergeCell ref="A1:C2"/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"B-C" AFOCAT</vt:lpstr>
      <vt:lpstr>FORMATO "A" AFOCAT</vt:lpstr>
      <vt:lpstr>FORMATO "B" AFOCAT</vt:lpstr>
      <vt:lpstr>B.C- FONDO </vt:lpstr>
      <vt:lpstr>FORMATO "A"- FONDO 2</vt:lpstr>
      <vt:lpstr>FORMATO "B" - FONDO 2</vt:lpstr>
      <vt:lpstr>1004</vt:lpstr>
      <vt:lpstr>2601</vt:lpstr>
      <vt:lpstr>2701</vt:lpstr>
      <vt:lpstr>'B.C- FONDO '!Área_de_impresión</vt:lpstr>
      <vt:lpstr>'FORMATO "A"- FONDO 2'!Área_de_impresión</vt:lpstr>
      <vt:lpstr>'FORMATO "B" - FONDO 2'!Área_de_impresión</vt:lpstr>
      <vt:lpstr>'FORMATO "B" AFOCAT'!Área_de_impresión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SystemHOST.Inc</cp:lastModifiedBy>
  <cp:lastPrinted>2020-01-21T13:12:47Z</cp:lastPrinted>
  <dcterms:created xsi:type="dcterms:W3CDTF">2019-02-27T16:22:54Z</dcterms:created>
  <dcterms:modified xsi:type="dcterms:W3CDTF">2020-02-19T15:50:13Z</dcterms:modified>
</cp:coreProperties>
</file>